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1555" windowHeight="13005"/>
  </bookViews>
  <sheets>
    <sheet name="大気圧" sheetId="3" r:id="rId1"/>
    <sheet name="重力加速度" sheetId="1" r:id="rId2"/>
    <sheet name="基本スペック" sheetId="2" r:id="rId3"/>
    <sheet name="モデルロケットエンジン" sheetId="4" r:id="rId4"/>
  </sheets>
  <calcPr calcId="125725"/>
</workbook>
</file>

<file path=xl/calcChain.xml><?xml version="1.0" encoding="utf-8"?>
<calcChain xmlns="http://schemas.openxmlformats.org/spreadsheetml/2006/main">
  <c r="C26" i="3"/>
  <c r="C27"/>
  <c r="C28"/>
  <c r="C29"/>
  <c r="C30"/>
  <c r="C31"/>
  <c r="C32"/>
  <c r="C33"/>
  <c r="C34"/>
  <c r="C35"/>
  <c r="C36"/>
  <c r="C37"/>
  <c r="C38"/>
  <c r="C39"/>
  <c r="H6"/>
  <c r="D13" i="4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5"/>
  <c r="D6"/>
  <c r="D7"/>
  <c r="D8"/>
  <c r="D9"/>
  <c r="D10"/>
  <c r="D11"/>
  <c r="D12"/>
  <c r="D4"/>
  <c r="D3"/>
  <c r="D38" i="2"/>
  <c r="D24" l="1"/>
  <c r="D20"/>
  <c r="D19"/>
  <c r="D14"/>
  <c r="E5"/>
  <c r="G16"/>
  <c r="D17" s="1"/>
  <c r="G17" s="1"/>
  <c r="D40" s="1"/>
  <c r="G35"/>
  <c r="G36"/>
  <c r="G37"/>
  <c r="G23"/>
  <c r="C25" i="3" l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"/>
  <c r="G3" i="2"/>
  <c r="G4"/>
  <c r="G7"/>
  <c r="G9"/>
  <c r="D10" s="1"/>
  <c r="G12"/>
  <c r="G13"/>
  <c r="G38" s="1"/>
  <c r="G2"/>
  <c r="B15" i="3"/>
  <c r="B16"/>
  <c r="B17"/>
  <c r="B18"/>
  <c r="B19"/>
  <c r="B20"/>
  <c r="B21"/>
  <c r="B3"/>
  <c r="B4"/>
  <c r="B5"/>
  <c r="B6"/>
  <c r="B7"/>
  <c r="B8"/>
  <c r="B9"/>
  <c r="B10"/>
  <c r="B11"/>
  <c r="B12"/>
  <c r="B13"/>
  <c r="B14"/>
  <c r="B2"/>
  <c r="B14" i="1"/>
  <c r="B15"/>
  <c r="B16"/>
  <c r="B17"/>
  <c r="B18"/>
  <c r="B19"/>
  <c r="B20"/>
  <c r="B21"/>
  <c r="B22"/>
  <c r="B23"/>
  <c r="B24"/>
  <c r="B25"/>
  <c r="B26"/>
  <c r="B27"/>
  <c r="B28"/>
  <c r="B29"/>
  <c r="B3"/>
  <c r="B4"/>
  <c r="B5"/>
  <c r="B6"/>
  <c r="B7"/>
  <c r="B8"/>
  <c r="B9"/>
  <c r="B10"/>
  <c r="B11"/>
  <c r="B12"/>
  <c r="B13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2"/>
  <c r="G14" i="2" l="1"/>
  <c r="G5"/>
  <c r="D6" s="1"/>
  <c r="G6" s="1"/>
  <c r="G10"/>
  <c r="D28" l="1"/>
  <c r="G28" s="1"/>
  <c r="D27"/>
  <c r="G27" s="1"/>
  <c r="G24"/>
  <c r="D25" s="1"/>
  <c r="G40" l="1"/>
  <c r="D29"/>
  <c r="G29" s="1"/>
  <c r="G25"/>
  <c r="G19" l="1"/>
  <c r="D31"/>
  <c r="G31" s="1"/>
  <c r="D32"/>
  <c r="G32" s="1"/>
  <c r="G20" l="1"/>
  <c r="D21"/>
  <c r="G21" s="1"/>
</calcChain>
</file>

<file path=xl/sharedStrings.xml><?xml version="1.0" encoding="utf-8"?>
<sst xmlns="http://schemas.openxmlformats.org/spreadsheetml/2006/main" count="178" uniqueCount="166">
  <si>
    <t>重力加速度</t>
  </si>
  <si>
    <t>重力加速度
[m/s^2]</t>
    <rPh sb="0" eb="5">
      <t>ジュウリョクカソクド</t>
    </rPh>
    <phoneticPr fontId="1"/>
  </si>
  <si>
    <t>高度
[km]</t>
    <rPh sb="0" eb="2">
      <t>コウド</t>
    </rPh>
    <phoneticPr fontId="1"/>
  </si>
  <si>
    <t>１ 使用する記号</t>
  </si>
  <si>
    <t>Ns</t>
  </si>
  <si>
    <t xml:space="preserve">g </t>
  </si>
  <si>
    <t xml:space="preserve">t </t>
  </si>
  <si>
    <t>ρ</t>
  </si>
  <si>
    <t>W0</t>
  </si>
  <si>
    <t>W</t>
  </si>
  <si>
    <t>Wm</t>
  </si>
  <si>
    <t xml:space="preserve">c </t>
  </si>
  <si>
    <t xml:space="preserve">r </t>
  </si>
  <si>
    <t xml:space="preserve">S </t>
  </si>
  <si>
    <t>F</t>
  </si>
  <si>
    <t>F/W</t>
  </si>
  <si>
    <t>U2</t>
  </si>
  <si>
    <t>Vy</t>
  </si>
  <si>
    <t>Y0y</t>
  </si>
  <si>
    <t>Y</t>
  </si>
  <si>
    <t>m/s^2</t>
  </si>
  <si>
    <t>sec</t>
  </si>
  <si>
    <t>水の密度</t>
  </si>
  <si>
    <t>kg/m^3</t>
  </si>
  <si>
    <t>自重、燃料(水)なしの重量</t>
  </si>
  <si>
    <t>kg</t>
  </si>
  <si>
    <t>平均重量</t>
  </si>
  <si>
    <t>燃料(水)の容量</t>
  </si>
  <si>
    <t>ノズル半径</t>
  </si>
  <si>
    <t>m</t>
  </si>
  <si>
    <t>ノズル面積</t>
  </si>
  <si>
    <t>m^2</t>
  </si>
  <si>
    <t>kPa</t>
  </si>
  <si>
    <t>推力</t>
  </si>
  <si>
    <t>N</t>
  </si>
  <si>
    <t>推力重力比</t>
  </si>
  <si>
    <t>(無次元数)</t>
  </si>
  <si>
    <t>m/s</t>
  </si>
  <si>
    <t>ノズル流速</t>
  </si>
  <si>
    <t>鉛直慣性速度</t>
  </si>
  <si>
    <t>燃焼距離</t>
  </si>
  <si>
    <t>鉛直距離</t>
  </si>
  <si>
    <t>デフォルト値</t>
    <rPh sb="5" eb="6">
      <t>チ</t>
    </rPh>
    <phoneticPr fontId="1"/>
  </si>
  <si>
    <t>単位</t>
    <rPh sb="0" eb="2">
      <t>タンイ</t>
    </rPh>
    <phoneticPr fontId="1"/>
  </si>
  <si>
    <t>説明</t>
    <rPh sb="0" eb="2">
      <t>セツメイ</t>
    </rPh>
    <phoneticPr fontId="1"/>
  </si>
  <si>
    <t>P1</t>
    <phoneticPr fontId="1"/>
  </si>
  <si>
    <t>ペットボトル内圧</t>
    <rPh sb="6" eb="7">
      <t>ナイ</t>
    </rPh>
    <phoneticPr fontId="1"/>
  </si>
  <si>
    <t>大気圧</t>
    <rPh sb="0" eb="3">
      <t>タイキアツ</t>
    </rPh>
    <phoneticPr fontId="1"/>
  </si>
  <si>
    <t>P2</t>
    <phoneticPr fontId="1"/>
  </si>
  <si>
    <t>kPa</t>
    <phoneticPr fontId="1"/>
  </si>
  <si>
    <t>気温
[℃]</t>
    <rPh sb="0" eb="2">
      <t>キオン</t>
    </rPh>
    <phoneticPr fontId="1"/>
  </si>
  <si>
    <t>値</t>
    <rPh sb="0" eb="1">
      <t>アタイ</t>
    </rPh>
    <phoneticPr fontId="1"/>
  </si>
  <si>
    <t>計算用</t>
    <rPh sb="0" eb="3">
      <t>ケイサンヨウ</t>
    </rPh>
    <phoneticPr fontId="1"/>
  </si>
  <si>
    <t>燃料重量</t>
    <rPh sb="0" eb="2">
      <t>ネンリョウ</t>
    </rPh>
    <phoneticPr fontId="1"/>
  </si>
  <si>
    <t>m^3</t>
    <phoneticPr fontId="1"/>
  </si>
  <si>
    <t>大気圧
[kPa]</t>
    <rPh sb="0" eb="3">
      <t>タイキアツ</t>
    </rPh>
    <phoneticPr fontId="1"/>
  </si>
  <si>
    <t>燃焼時間</t>
    <rPh sb="0" eb="2">
      <t>ネンショウ</t>
    </rPh>
    <phoneticPr fontId="1"/>
  </si>
  <si>
    <t>総推力</t>
    <rPh sb="0" eb="1">
      <t>ソウ</t>
    </rPh>
    <rPh sb="1" eb="3">
      <t>スイリョク</t>
    </rPh>
    <phoneticPr fontId="1"/>
  </si>
  <si>
    <t>kg m/s</t>
    <phoneticPr fontId="1"/>
  </si>
  <si>
    <t>tf</t>
    <phoneticPr fontId="1"/>
  </si>
  <si>
    <t>慣性飛行時間</t>
    <rPh sb="0" eb="6">
      <t>カンセイヒコウジカン</t>
    </rPh>
    <phoneticPr fontId="1"/>
  </si>
  <si>
    <t>sec</t>
    <phoneticPr fontId="1"/>
  </si>
  <si>
    <t>Yf</t>
    <phoneticPr fontId="1"/>
  </si>
  <si>
    <t>慣性飛行距離</t>
    <rPh sb="0" eb="4">
      <t>カンセイヒコウ</t>
    </rPh>
    <rPh sb="4" eb="6">
      <t>キョリ</t>
    </rPh>
    <phoneticPr fontId="1"/>
  </si>
  <si>
    <t>m</t>
    <phoneticPr fontId="1"/>
  </si>
  <si>
    <t>V0</t>
    <phoneticPr fontId="1"/>
  </si>
  <si>
    <t>初速度</t>
    <rPh sb="0" eb="3">
      <t>ショソクド</t>
    </rPh>
    <phoneticPr fontId="1"/>
  </si>
  <si>
    <t>m/s</t>
    <phoneticPr fontId="1"/>
  </si>
  <si>
    <t>km</t>
    <phoneticPr fontId="1"/>
  </si>
  <si>
    <t>Y'</t>
    <phoneticPr fontId="1"/>
  </si>
  <si>
    <t>Fr</t>
    <phoneticPr fontId="1"/>
  </si>
  <si>
    <t>空気抵抗係数</t>
    <rPh sb="0" eb="6">
      <t>クウキテイコウケイスウ</t>
    </rPh>
    <phoneticPr fontId="1"/>
  </si>
  <si>
    <t>空気抵抗</t>
    <rPh sb="0" eb="2">
      <t>クウキ</t>
    </rPh>
    <rPh sb="2" eb="4">
      <t>テイコウ</t>
    </rPh>
    <phoneticPr fontId="1"/>
  </si>
  <si>
    <t>Cd</t>
    <phoneticPr fontId="1"/>
  </si>
  <si>
    <t>ρa</t>
    <phoneticPr fontId="1"/>
  </si>
  <si>
    <t>空気の密度</t>
    <rPh sb="0" eb="2">
      <t>クウキ</t>
    </rPh>
    <rPh sb="3" eb="5">
      <t>ミツド</t>
    </rPh>
    <phoneticPr fontId="1"/>
  </si>
  <si>
    <t>R</t>
    <phoneticPr fontId="1"/>
  </si>
  <si>
    <t>乾燥空気の気体定数</t>
    <rPh sb="0" eb="4">
      <t>カンソウクウキ</t>
    </rPh>
    <rPh sb="5" eb="9">
      <t>キタイテイスウ</t>
    </rPh>
    <phoneticPr fontId="1"/>
  </si>
  <si>
    <t>Tt</t>
    <phoneticPr fontId="1"/>
  </si>
  <si>
    <t>気温</t>
    <rPh sb="0" eb="2">
      <t>キオン</t>
    </rPh>
    <phoneticPr fontId="1"/>
  </si>
  <si>
    <t>℃</t>
    <phoneticPr fontId="1"/>
  </si>
  <si>
    <t>A</t>
    <phoneticPr fontId="1"/>
  </si>
  <si>
    <t>機体投影面積</t>
    <rPh sb="0" eb="2">
      <t>キタイ</t>
    </rPh>
    <rPh sb="2" eb="6">
      <t>トウエイメンセキ</t>
    </rPh>
    <phoneticPr fontId="1"/>
  </si>
  <si>
    <t>Φ</t>
    <phoneticPr fontId="1"/>
  </si>
  <si>
    <t>機体半径</t>
    <rPh sb="0" eb="2">
      <t>キタイ</t>
    </rPh>
    <rPh sb="2" eb="4">
      <t>ハンケイ</t>
    </rPh>
    <phoneticPr fontId="1"/>
  </si>
  <si>
    <t>m</t>
    <phoneticPr fontId="1"/>
  </si>
  <si>
    <t>m^2</t>
    <phoneticPr fontId="1"/>
  </si>
  <si>
    <t>N</t>
    <phoneticPr fontId="1"/>
  </si>
  <si>
    <t>Acceleration of gravity</t>
  </si>
  <si>
    <t>The density of water</t>
  </si>
  <si>
    <t>The weight of its own weight , fuel ( water ) None</t>
  </si>
  <si>
    <t>Fuel weight</t>
  </si>
  <si>
    <t>Average weight</t>
  </si>
  <si>
    <t>Capacity of the fuel ( water )</t>
  </si>
  <si>
    <t>Nozzle radius</t>
  </si>
  <si>
    <t>Nozzle area</t>
  </si>
  <si>
    <t>PET bottle internal pressure</t>
  </si>
  <si>
    <t>Atmospheric pressure</t>
  </si>
  <si>
    <t>Nozzle flow rate</t>
  </si>
  <si>
    <t>Airframe radius</t>
  </si>
  <si>
    <t>Airframe projected area</t>
  </si>
  <si>
    <t>Total thrust</t>
  </si>
  <si>
    <t>Thrust gravity ratio</t>
  </si>
  <si>
    <t>Initial velocity</t>
  </si>
  <si>
    <t>Vertical inertial velocity</t>
  </si>
  <si>
    <t>Inertia flight time</t>
  </si>
  <si>
    <t>Inertia flight distance</t>
  </si>
  <si>
    <t>The vertical distance</t>
  </si>
  <si>
    <t>Air resistance</t>
  </si>
  <si>
    <t>Combustion distance</t>
    <phoneticPr fontId="1"/>
  </si>
  <si>
    <t>Thrust</t>
    <phoneticPr fontId="1"/>
  </si>
  <si>
    <t>Burning time</t>
    <phoneticPr fontId="1"/>
  </si>
  <si>
    <t>temperature</t>
    <phoneticPr fontId="1"/>
  </si>
  <si>
    <t>Gas constant of dry air</t>
    <phoneticPr fontId="1"/>
  </si>
  <si>
    <t>Air resistance coefficient</t>
    <phoneticPr fontId="1"/>
  </si>
  <si>
    <t>Density of air</t>
    <phoneticPr fontId="1"/>
  </si>
  <si>
    <t>kg/m^3</t>
    <phoneticPr fontId="1"/>
  </si>
  <si>
    <t>型</t>
    <rPh sb="0" eb="1">
      <t>カタ</t>
    </rPh>
    <phoneticPr fontId="1"/>
  </si>
  <si>
    <t>Micro</t>
  </si>
  <si>
    <t>1/4A</t>
  </si>
  <si>
    <t>1/2A</t>
  </si>
  <si>
    <t>A</t>
  </si>
  <si>
    <t>B</t>
  </si>
  <si>
    <t>C</t>
  </si>
  <si>
    <t>D</t>
  </si>
  <si>
    <t>E</t>
  </si>
  <si>
    <t>G</t>
  </si>
  <si>
    <t>Largest model rocket motor according to TRA and NAR.</t>
  </si>
  <si>
    <t>H</t>
  </si>
  <si>
    <t>I</t>
  </si>
  <si>
    <t>J</t>
  </si>
  <si>
    <t>K</t>
  </si>
  <si>
    <t>L</t>
  </si>
  <si>
    <t>M</t>
  </si>
  <si>
    <t>O</t>
  </si>
  <si>
    <t>P</t>
  </si>
  <si>
    <t>FAA/AST Permit or License required.</t>
  </si>
  <si>
    <t>Q</t>
  </si>
  <si>
    <t>R</t>
  </si>
  <si>
    <t>S</t>
  </si>
  <si>
    <t>Largest motor used by amateurs.[4] The remainder of this chart is an application of consumer rocket nomenclature to professional rockets which do not use this nomenclature at all.</t>
  </si>
  <si>
    <t>T</t>
  </si>
  <si>
    <t>U</t>
  </si>
  <si>
    <t>V</t>
  </si>
  <si>
    <t>X</t>
  </si>
  <si>
    <t>Delta II</t>
  </si>
  <si>
    <t>Z</t>
  </si>
  <si>
    <t>AA</t>
  </si>
  <si>
    <t>AB</t>
  </si>
  <si>
    <t>AC</t>
  </si>
  <si>
    <t>AD</t>
  </si>
  <si>
    <t>Space Shuttle SRB</t>
  </si>
  <si>
    <t>AE</t>
  </si>
  <si>
    <t>Falcon 9 v1.1</t>
  </si>
  <si>
    <t>AF</t>
  </si>
  <si>
    <t>Delta IV Heavy</t>
  </si>
  <si>
    <t>AG</t>
  </si>
  <si>
    <t>Space Shuttle</t>
  </si>
  <si>
    <t>推力　（Ns)</t>
    <rPh sb="0" eb="2">
      <t>スイリョク</t>
    </rPh>
    <phoneticPr fontId="1"/>
  </si>
  <si>
    <r>
      <t>Level 1 Certification required from </t>
    </r>
    <r>
      <rPr>
        <sz val="11"/>
        <color rgb="FF0B0080"/>
        <rFont val="ＭＳ Ｐゴシック"/>
        <family val="3"/>
        <charset val="128"/>
        <scheme val="minor"/>
      </rPr>
      <t>Tripoli</t>
    </r>
    <r>
      <rPr>
        <sz val="11"/>
        <color rgb="FF000000"/>
        <rFont val="ＭＳ Ｐゴシック"/>
        <family val="3"/>
        <charset val="128"/>
        <scheme val="minor"/>
      </rPr>
      <t> or </t>
    </r>
    <r>
      <rPr>
        <sz val="11"/>
        <color rgb="FF0B0080"/>
        <rFont val="ＭＳ Ｐゴシック"/>
        <family val="3"/>
        <charset val="128"/>
        <scheme val="minor"/>
      </rPr>
      <t>NAR</t>
    </r>
    <r>
      <rPr>
        <sz val="11"/>
        <color rgb="FF000000"/>
        <rFont val="ＭＳ Ｐゴシック"/>
        <family val="3"/>
        <charset val="128"/>
        <scheme val="minor"/>
      </rPr>
      <t>, if you join those clubs.</t>
    </r>
  </si>
  <si>
    <r>
      <t>Level 2 Certification required from </t>
    </r>
    <r>
      <rPr>
        <sz val="11"/>
        <color rgb="FF0B0080"/>
        <rFont val="ＭＳ Ｐゴシック"/>
        <family val="3"/>
        <charset val="128"/>
        <scheme val="minor"/>
      </rPr>
      <t>Tripoli</t>
    </r>
    <r>
      <rPr>
        <sz val="11"/>
        <color rgb="FF000000"/>
        <rFont val="ＭＳ Ｐゴシック"/>
        <family val="3"/>
        <charset val="128"/>
        <scheme val="minor"/>
      </rPr>
      <t> or </t>
    </r>
    <r>
      <rPr>
        <sz val="11"/>
        <color rgb="FF0B0080"/>
        <rFont val="ＭＳ Ｐゴシック"/>
        <family val="3"/>
        <charset val="128"/>
        <scheme val="minor"/>
      </rPr>
      <t>NAR</t>
    </r>
    <r>
      <rPr>
        <sz val="11"/>
        <color rgb="FF000000"/>
        <rFont val="ＭＳ Ｐゴシック"/>
        <family val="3"/>
        <charset val="128"/>
        <scheme val="minor"/>
      </rPr>
      <t>, if you join those clubs.</t>
    </r>
  </si>
  <si>
    <r>
      <t>Level 3 Certification required from </t>
    </r>
    <r>
      <rPr>
        <sz val="11"/>
        <color rgb="FF0B0080"/>
        <rFont val="ＭＳ Ｐゴシック"/>
        <family val="3"/>
        <charset val="128"/>
        <scheme val="minor"/>
      </rPr>
      <t>Tripoli</t>
    </r>
    <r>
      <rPr>
        <sz val="11"/>
        <color rgb="FF000000"/>
        <rFont val="ＭＳ Ｐゴシック"/>
        <family val="3"/>
        <charset val="128"/>
        <scheme val="minor"/>
      </rPr>
      <t> or </t>
    </r>
    <r>
      <rPr>
        <sz val="11"/>
        <color rgb="FF0B0080"/>
        <rFont val="ＭＳ Ｐゴシック"/>
        <family val="3"/>
        <charset val="128"/>
        <scheme val="minor"/>
      </rPr>
      <t>NAR</t>
    </r>
    <r>
      <rPr>
        <sz val="11"/>
        <color rgb="FF000000"/>
        <rFont val="ＭＳ Ｐゴシック"/>
        <family val="3"/>
        <charset val="128"/>
        <scheme val="minor"/>
      </rPr>
      <t>, if you join those clubs.</t>
    </r>
  </si>
  <si>
    <r>
      <t>Apollo</t>
    </r>
    <r>
      <rPr>
        <sz val="11"/>
        <color rgb="FF000000"/>
        <rFont val="ＭＳ Ｐゴシック"/>
        <family val="3"/>
        <charset val="128"/>
        <scheme val="minor"/>
      </rPr>
      <t> </t>
    </r>
    <r>
      <rPr>
        <sz val="11"/>
        <color rgb="FF0B0080"/>
        <rFont val="ＭＳ Ｐゴシック"/>
        <family val="3"/>
        <charset val="128"/>
        <scheme val="minor"/>
      </rPr>
      <t>launch escape rocket</t>
    </r>
  </si>
  <si>
    <r>
      <t>Falcon Project Ltd.</t>
    </r>
    <r>
      <rPr>
        <sz val="11"/>
        <color rgb="FF000000"/>
        <rFont val="ＭＳ Ｐゴシック"/>
        <family val="3"/>
        <charset val="128"/>
        <scheme val="minor"/>
      </rPr>
      <t> </t>
    </r>
    <r>
      <rPr>
        <sz val="11"/>
        <color rgb="FFA55858"/>
        <rFont val="ＭＳ Ｐゴシック"/>
        <family val="3"/>
        <charset val="128"/>
        <scheme val="minor"/>
      </rPr>
      <t>Bloodhound SSC hybrid rocket</t>
    </r>
    <r>
      <rPr>
        <vertAlign val="superscript"/>
        <sz val="8"/>
        <color rgb="FF0B0080"/>
        <rFont val="ＭＳ Ｐゴシック"/>
        <family val="3"/>
        <charset val="128"/>
        <scheme val="minor"/>
      </rPr>
      <t>[5]</t>
    </r>
  </si>
  <si>
    <t>秒数(s)</t>
    <rPh sb="0" eb="2">
      <t>ビョウスウ</t>
    </rPh>
    <phoneticPr fontId="1"/>
  </si>
  <si>
    <t>推力(N)</t>
    <rPh sb="0" eb="2">
      <t>スイリョク</t>
    </rPh>
    <phoneticPr fontId="1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</si>
</sst>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0B008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sz val="11"/>
      <color rgb="FFA55858"/>
      <name val="ＭＳ Ｐゴシック"/>
      <family val="3"/>
      <charset val="128"/>
      <scheme val="minor"/>
    </font>
    <font>
      <vertAlign val="superscript"/>
      <sz val="8"/>
      <color rgb="FF0B008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/>
      <right style="medium">
        <color rgb="FFAAAAAA"/>
      </right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38" fontId="0" fillId="0" borderId="0" xfId="1" applyFont="1">
      <alignment vertical="center"/>
    </xf>
    <xf numFmtId="0" fontId="0" fillId="3" borderId="0" xfId="0" applyFill="1">
      <alignment vertical="center"/>
    </xf>
    <xf numFmtId="0" fontId="4" fillId="0" borderId="0" xfId="0" applyFont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horizontal="right" vertical="center" wrapText="1"/>
    </xf>
    <xf numFmtId="0" fontId="4" fillId="4" borderId="6" xfId="0" applyFont="1" applyFill="1" applyBorder="1" applyAlignment="1">
      <alignment vertical="center"/>
    </xf>
    <xf numFmtId="0" fontId="7" fillId="4" borderId="1" xfId="2" applyFont="1" applyFill="1" applyBorder="1" applyAlignment="1" applyProtection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right" vertical="center" wrapText="1"/>
    </xf>
    <xf numFmtId="0" fontId="7" fillId="4" borderId="2" xfId="2" applyFont="1" applyFill="1" applyBorder="1" applyAlignment="1" applyProtection="1">
      <alignment horizontal="right" vertical="center" wrapText="1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大気圧!$A$2:$A$31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200</c:v>
                </c:pt>
              </c:numCache>
            </c:numRef>
          </c:xVal>
          <c:yVal>
            <c:numRef>
              <c:f>大気圧!$B$2:$B$31</c:f>
              <c:numCache>
                <c:formatCode>General</c:formatCode>
                <c:ptCount val="30"/>
                <c:pt idx="0">
                  <c:v>20</c:v>
                </c:pt>
                <c:pt idx="1">
                  <c:v>19.350000000000001</c:v>
                </c:pt>
                <c:pt idx="2">
                  <c:v>18.7</c:v>
                </c:pt>
                <c:pt idx="3">
                  <c:v>18.05</c:v>
                </c:pt>
                <c:pt idx="4">
                  <c:v>17.399999999999999</c:v>
                </c:pt>
                <c:pt idx="5">
                  <c:v>16.75</c:v>
                </c:pt>
                <c:pt idx="6">
                  <c:v>16.100000000000001</c:v>
                </c:pt>
                <c:pt idx="7">
                  <c:v>15.450000000000001</c:v>
                </c:pt>
                <c:pt idx="8">
                  <c:v>14.8</c:v>
                </c:pt>
                <c:pt idx="9">
                  <c:v>14.149999999999999</c:v>
                </c:pt>
                <c:pt idx="10">
                  <c:v>13.5</c:v>
                </c:pt>
                <c:pt idx="11">
                  <c:v>7</c:v>
                </c:pt>
                <c:pt idx="12">
                  <c:v>0.5</c:v>
                </c:pt>
                <c:pt idx="13">
                  <c:v>-6</c:v>
                </c:pt>
                <c:pt idx="14">
                  <c:v>-12.5</c:v>
                </c:pt>
                <c:pt idx="15">
                  <c:v>-19</c:v>
                </c:pt>
                <c:pt idx="16">
                  <c:v>-25.5</c:v>
                </c:pt>
                <c:pt idx="17">
                  <c:v>-32</c:v>
                </c:pt>
                <c:pt idx="18">
                  <c:v>-38.5</c:v>
                </c:pt>
                <c:pt idx="19">
                  <c:v>-45</c:v>
                </c:pt>
                <c:pt idx="20">
                  <c:v>-50</c:v>
                </c:pt>
                <c:pt idx="21">
                  <c:v>-45</c:v>
                </c:pt>
                <c:pt idx="22">
                  <c:v>-25</c:v>
                </c:pt>
                <c:pt idx="23">
                  <c:v>-5</c:v>
                </c:pt>
                <c:pt idx="24">
                  <c:v>-25</c:v>
                </c:pt>
                <c:pt idx="25">
                  <c:v>-40</c:v>
                </c:pt>
                <c:pt idx="26">
                  <c:v>-60</c:v>
                </c:pt>
                <c:pt idx="27">
                  <c:v>-80</c:v>
                </c:pt>
                <c:pt idx="28">
                  <c:v>-60</c:v>
                </c:pt>
                <c:pt idx="29">
                  <c:v>240</c:v>
                </c:pt>
              </c:numCache>
            </c:numRef>
          </c:yVal>
        </c:ser>
        <c:axId val="103327616"/>
        <c:axId val="103326080"/>
      </c:scatterChart>
      <c:scatterChart>
        <c:scatterStyle val="smoothMarker"/>
        <c:ser>
          <c:idx val="1"/>
          <c:order val="1"/>
          <c:xVal>
            <c:numRef>
              <c:f>大気圧!$A$2:$A$31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200</c:v>
                </c:pt>
              </c:numCache>
            </c:numRef>
          </c:xVal>
          <c:yVal>
            <c:numRef>
              <c:f>大気圧!$C$2:$C$31</c:f>
              <c:numCache>
                <c:formatCode>General</c:formatCode>
                <c:ptCount val="30"/>
                <c:pt idx="0">
                  <c:v>101.325</c:v>
                </c:pt>
                <c:pt idx="1">
                  <c:v>100.1494841516363</c:v>
                </c:pt>
                <c:pt idx="2">
                  <c:v>98.985036239041563</c:v>
                </c:pt>
                <c:pt idx="3">
                  <c:v>97.831576355808622</c:v>
                </c:pt>
                <c:pt idx="4">
                  <c:v>96.689024996189602</c:v>
                </c:pt>
                <c:pt idx="5">
                  <c:v>95.557303053974735</c:v>
                </c:pt>
                <c:pt idx="6">
                  <c:v>94.436331821371368</c:v>
                </c:pt>
                <c:pt idx="7">
                  <c:v>93.326032987884133</c:v>
                </c:pt>
                <c:pt idx="8">
                  <c:v>92.226328639195373</c:v>
                </c:pt>
                <c:pt idx="9">
                  <c:v>91.137141256046533</c:v>
                </c:pt>
                <c:pt idx="10">
                  <c:v>90.058393713120012</c:v>
                </c:pt>
                <c:pt idx="11">
                  <c:v>79.828421358717705</c:v>
                </c:pt>
                <c:pt idx="12">
                  <c:v>70.560477249593845</c:v>
                </c:pt>
                <c:pt idx="13">
                  <c:v>62.183761551405738</c:v>
                </c:pt>
                <c:pt idx="14">
                  <c:v>54.631169623983659</c:v>
                </c:pt>
                <c:pt idx="15">
                  <c:v>47.839182036256112</c:v>
                </c:pt>
                <c:pt idx="16">
                  <c:v>41.747755266929907</c:v>
                </c:pt>
                <c:pt idx="17">
                  <c:v>36.30021310359696</c:v>
                </c:pt>
                <c:pt idx="18">
                  <c:v>31.443138753504588</c:v>
                </c:pt>
                <c:pt idx="19">
                  <c:v>27.126267679829539</c:v>
                </c:pt>
                <c:pt idx="20">
                  <c:v>9.0712868282388079</c:v>
                </c:pt>
                <c:pt idx="21">
                  <c:v>3.9391350162468477</c:v>
                </c:pt>
                <c:pt idx="22">
                  <c:v>2.3406151101988262</c:v>
                </c:pt>
                <c:pt idx="23">
                  <c:v>1.5601729888549249</c:v>
                </c:pt>
                <c:pt idx="24">
                  <c:v>0.70672517043859295</c:v>
                </c:pt>
                <c:pt idx="25">
                  <c:v>0.34251207186367755</c:v>
                </c:pt>
                <c:pt idx="26">
                  <c:v>0.15321337338780691</c:v>
                </c:pt>
                <c:pt idx="27">
                  <c:v>6.673370440008683E-2</c:v>
                </c:pt>
                <c:pt idx="28">
                  <c:v>6.4954595403965157E-2</c:v>
                </c:pt>
                <c:pt idx="29">
                  <c:v>0.13301019525642235</c:v>
                </c:pt>
              </c:numCache>
            </c:numRef>
          </c:yVal>
          <c:smooth val="1"/>
        </c:ser>
        <c:axId val="247113600"/>
        <c:axId val="220632960"/>
      </c:scatterChart>
      <c:valAx>
        <c:axId val="103327616"/>
        <c:scaling>
          <c:orientation val="minMax"/>
        </c:scaling>
        <c:axPos val="b"/>
        <c:numFmt formatCode="General" sourceLinked="1"/>
        <c:tickLblPos val="nextTo"/>
        <c:crossAx val="103326080"/>
        <c:crosses val="autoZero"/>
        <c:crossBetween val="midCat"/>
      </c:valAx>
      <c:valAx>
        <c:axId val="103326080"/>
        <c:scaling>
          <c:orientation val="minMax"/>
        </c:scaling>
        <c:axPos val="l"/>
        <c:majorGridlines/>
        <c:numFmt formatCode="General" sourceLinked="1"/>
        <c:tickLblPos val="nextTo"/>
        <c:crossAx val="103327616"/>
        <c:crosses val="autoZero"/>
        <c:crossBetween val="midCat"/>
      </c:valAx>
      <c:valAx>
        <c:axId val="220632960"/>
        <c:scaling>
          <c:logBase val="10"/>
          <c:orientation val="minMax"/>
        </c:scaling>
        <c:axPos val="r"/>
        <c:numFmt formatCode="General" sourceLinked="1"/>
        <c:tickLblPos val="nextTo"/>
        <c:crossAx val="247113600"/>
        <c:crosses val="max"/>
        <c:crossBetween val="midCat"/>
      </c:valAx>
      <c:valAx>
        <c:axId val="247113600"/>
        <c:scaling>
          <c:orientation val="minMax"/>
        </c:scaling>
        <c:delete val="1"/>
        <c:axPos val="b"/>
        <c:numFmt formatCode="General" sourceLinked="1"/>
        <c:tickLblPos val="none"/>
        <c:crossAx val="220632960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重力加速度!$B$1</c:f>
              <c:strCache>
                <c:ptCount val="1"/>
                <c:pt idx="0">
                  <c:v>重力加速度
[m/s^2]</c:v>
                </c:pt>
              </c:strCache>
            </c:strRef>
          </c:tx>
          <c:marker>
            <c:symbol val="none"/>
          </c:marker>
          <c:xVal>
            <c:numRef>
              <c:f>重力加速度!$A$2:$A$57</c:f>
              <c:numCache>
                <c:formatCode>General</c:formatCode>
                <c:ptCount val="5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40</c:v>
                </c:pt>
                <c:pt idx="23">
                  <c:v>50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90</c:v>
                </c:pt>
                <c:pt idx="28">
                  <c:v>100</c:v>
                </c:pt>
                <c:pt idx="29">
                  <c:v>200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2000</c:v>
                </c:pt>
                <c:pt idx="39">
                  <c:v>3000</c:v>
                </c:pt>
                <c:pt idx="40">
                  <c:v>4000</c:v>
                </c:pt>
                <c:pt idx="41">
                  <c:v>5000</c:v>
                </c:pt>
                <c:pt idx="42">
                  <c:v>6000</c:v>
                </c:pt>
                <c:pt idx="43">
                  <c:v>7000</c:v>
                </c:pt>
                <c:pt idx="44">
                  <c:v>8000</c:v>
                </c:pt>
                <c:pt idx="45">
                  <c:v>9000</c:v>
                </c:pt>
                <c:pt idx="46">
                  <c:v>10000</c:v>
                </c:pt>
                <c:pt idx="47">
                  <c:v>20000</c:v>
                </c:pt>
                <c:pt idx="48">
                  <c:v>30000</c:v>
                </c:pt>
                <c:pt idx="49">
                  <c:v>40000</c:v>
                </c:pt>
                <c:pt idx="50">
                  <c:v>50000</c:v>
                </c:pt>
                <c:pt idx="51">
                  <c:v>60000</c:v>
                </c:pt>
                <c:pt idx="52">
                  <c:v>70000</c:v>
                </c:pt>
                <c:pt idx="53">
                  <c:v>80000</c:v>
                </c:pt>
                <c:pt idx="54">
                  <c:v>90000</c:v>
                </c:pt>
                <c:pt idx="55">
                  <c:v>100000</c:v>
                </c:pt>
              </c:numCache>
            </c:numRef>
          </c:xVal>
          <c:yVal>
            <c:numRef>
              <c:f>重力加速度!$B$2:$B$57</c:f>
              <c:numCache>
                <c:formatCode>General</c:formatCode>
                <c:ptCount val="56"/>
                <c:pt idx="0">
                  <c:v>9.8066499999999994</c:v>
                </c:pt>
                <c:pt idx="1">
                  <c:v>9.8063414651696057</c:v>
                </c:pt>
                <c:pt idx="2">
                  <c:v>9.8060329448995756</c:v>
                </c:pt>
                <c:pt idx="3">
                  <c:v>9.8057244391889888</c:v>
                </c:pt>
                <c:pt idx="4">
                  <c:v>9.8054159480369325</c:v>
                </c:pt>
                <c:pt idx="5">
                  <c:v>9.8051074714424864</c:v>
                </c:pt>
                <c:pt idx="6">
                  <c:v>9.8047990094047393</c:v>
                </c:pt>
                <c:pt idx="7">
                  <c:v>9.8044905619227745</c:v>
                </c:pt>
                <c:pt idx="8">
                  <c:v>9.8041821289956737</c:v>
                </c:pt>
                <c:pt idx="9">
                  <c:v>9.8038737106225238</c:v>
                </c:pt>
                <c:pt idx="10">
                  <c:v>9.8035653068024047</c:v>
                </c:pt>
                <c:pt idx="11">
                  <c:v>9.8004820688167058</c:v>
                </c:pt>
                <c:pt idx="12">
                  <c:v>9.7974002851277078</c:v>
                </c:pt>
                <c:pt idx="13">
                  <c:v>9.7943199548209456</c:v>
                </c:pt>
                <c:pt idx="14">
                  <c:v>9.791241076982665</c:v>
                </c:pt>
                <c:pt idx="15">
                  <c:v>9.7881636506998344</c:v>
                </c:pt>
                <c:pt idx="16">
                  <c:v>9.7850876750601383</c:v>
                </c:pt>
                <c:pt idx="17">
                  <c:v>9.7820131491519753</c:v>
                </c:pt>
                <c:pt idx="18">
                  <c:v>9.7789400720644615</c:v>
                </c:pt>
                <c:pt idx="19">
                  <c:v>9.7758684428874343</c:v>
                </c:pt>
                <c:pt idx="20">
                  <c:v>9.745231586466776</c:v>
                </c:pt>
                <c:pt idx="21">
                  <c:v>9.7147385251945906</c:v>
                </c:pt>
                <c:pt idx="22">
                  <c:v>9.6843883606000336</c:v>
                </c:pt>
                <c:pt idx="23">
                  <c:v>9.6541802012186828</c:v>
                </c:pt>
                <c:pt idx="24">
                  <c:v>9.6241131625270597</c:v>
                </c:pt>
                <c:pt idx="25">
                  <c:v>9.5941863668778993</c:v>
                </c:pt>
                <c:pt idx="26">
                  <c:v>9.5643989434360801</c:v>
                </c:pt>
                <c:pt idx="27">
                  <c:v>9.5347500281152904</c:v>
                </c:pt>
                <c:pt idx="28">
                  <c:v>9.5052387635153561</c:v>
                </c:pt>
                <c:pt idx="29">
                  <c:v>9.2175129375974123</c:v>
                </c:pt>
                <c:pt idx="30">
                  <c:v>8.9426563850040228</c:v>
                </c:pt>
                <c:pt idx="31">
                  <c:v>8.6799129122159115</c:v>
                </c:pt>
                <c:pt idx="32">
                  <c:v>8.4285810627112454</c:v>
                </c:pt>
                <c:pt idx="33">
                  <c:v>8.1880094303355548</c:v>
                </c:pt>
                <c:pt idx="34">
                  <c:v>7.957592434229749</c:v>
                </c:pt>
                <c:pt idx="35">
                  <c:v>7.7367665040879912</c:v>
                </c:pt>
                <c:pt idx="36">
                  <c:v>7.5250066308260557</c:v>
                </c:pt>
                <c:pt idx="37">
                  <c:v>7.321823243198196</c:v>
                </c:pt>
                <c:pt idx="38">
                  <c:v>5.6743568219423404</c:v>
                </c:pt>
                <c:pt idx="39">
                  <c:v>4.5262817919130818</c:v>
                </c:pt>
                <c:pt idx="40">
                  <c:v>3.6944075011554491</c:v>
                </c:pt>
                <c:pt idx="41">
                  <c:v>3.0724425451381454</c:v>
                </c:pt>
                <c:pt idx="42">
                  <c:v>2.5952755794154498</c:v>
                </c:pt>
                <c:pt idx="43">
                  <c:v>2.2212144503763604</c:v>
                </c:pt>
                <c:pt idx="44">
                  <c:v>1.9225599076048332</c:v>
                </c:pt>
                <c:pt idx="45">
                  <c:v>1.6803261719628855</c:v>
                </c:pt>
                <c:pt idx="46">
                  <c:v>1.4811472748092711</c:v>
                </c:pt>
                <c:pt idx="47">
                  <c:v>0.57043857137741127</c:v>
                </c:pt>
                <c:pt idx="48">
                  <c:v>0.29979379189479805</c:v>
                </c:pt>
                <c:pt idx="49">
                  <c:v>0.18440252528476977</c:v>
                </c:pt>
                <c:pt idx="50">
                  <c:v>0.12476736362963618</c:v>
                </c:pt>
                <c:pt idx="51">
                  <c:v>8.999589525104279E-2</c:v>
                </c:pt>
                <c:pt idx="52">
                  <c:v>6.7966995631788527E-2</c:v>
                </c:pt>
                <c:pt idx="53">
                  <c:v>5.3137410362040567E-2</c:v>
                </c:pt>
                <c:pt idx="54">
                  <c:v>4.2680420970732172E-2</c:v>
                </c:pt>
                <c:pt idx="55">
                  <c:v>3.5031834365405641E-2</c:v>
                </c:pt>
              </c:numCache>
            </c:numRef>
          </c:yVal>
        </c:ser>
        <c:axId val="92651904"/>
        <c:axId val="92653440"/>
      </c:scatterChart>
      <c:valAx>
        <c:axId val="92651904"/>
        <c:scaling>
          <c:orientation val="minMax"/>
        </c:scaling>
        <c:axPos val="b"/>
        <c:numFmt formatCode="General" sourceLinked="1"/>
        <c:tickLblPos val="nextTo"/>
        <c:crossAx val="92653440"/>
        <c:crosses val="autoZero"/>
        <c:crossBetween val="midCat"/>
      </c:valAx>
      <c:valAx>
        <c:axId val="92653440"/>
        <c:scaling>
          <c:orientation val="minMax"/>
        </c:scaling>
        <c:axPos val="l"/>
        <c:majorGridlines/>
        <c:numFmt formatCode="General" sourceLinked="1"/>
        <c:tickLblPos val="nextTo"/>
        <c:crossAx val="92651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12</xdr:row>
      <xdr:rowOff>66675</xdr:rowOff>
    </xdr:from>
    <xdr:to>
      <xdr:col>17</xdr:col>
      <xdr:colOff>66675</xdr:colOff>
      <xdr:row>46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38100</xdr:rowOff>
    </xdr:from>
    <xdr:to>
      <xdr:col>16</xdr:col>
      <xdr:colOff>0</xdr:colOff>
      <xdr:row>29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en.wikipedia.org/wiki/Delta_II" TargetMode="External"/><Relationship Id="rId7" Type="http://schemas.openxmlformats.org/officeDocument/2006/relationships/hyperlink" Target="https://en.wikipedia.org/wiki/Space_Shuttle" TargetMode="External"/><Relationship Id="rId2" Type="http://schemas.openxmlformats.org/officeDocument/2006/relationships/hyperlink" Target="https://en.wikipedia.org/wiki/Model_rocket_motor_classification" TargetMode="External"/><Relationship Id="rId1" Type="http://schemas.openxmlformats.org/officeDocument/2006/relationships/hyperlink" Target="https://en.wikipedia.org/wiki/FAA" TargetMode="External"/><Relationship Id="rId6" Type="http://schemas.openxmlformats.org/officeDocument/2006/relationships/hyperlink" Target="https://en.wikipedia.org/wiki/Delta_IV_Heavy" TargetMode="External"/><Relationship Id="rId5" Type="http://schemas.openxmlformats.org/officeDocument/2006/relationships/hyperlink" Target="https://en.wikipedia.org/wiki/Falcon_9" TargetMode="External"/><Relationship Id="rId4" Type="http://schemas.openxmlformats.org/officeDocument/2006/relationships/hyperlink" Target="https://en.wikipedia.org/wiki/Space_Shuttle_Solid_Rocket_Boo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topLeftCell="A13" workbookViewId="0">
      <selection activeCell="E40" sqref="E40"/>
    </sheetView>
  </sheetViews>
  <sheetFormatPr defaultRowHeight="13.5"/>
  <cols>
    <col min="8" max="8" width="14" customWidth="1"/>
  </cols>
  <sheetData>
    <row r="1" spans="1:8" ht="27">
      <c r="A1" s="1" t="s">
        <v>2</v>
      </c>
      <c r="B1" s="1" t="s">
        <v>50</v>
      </c>
      <c r="C1" s="1" t="s">
        <v>55</v>
      </c>
      <c r="D1">
        <v>20</v>
      </c>
      <c r="E1">
        <v>1013.25</v>
      </c>
    </row>
    <row r="2" spans="1:8">
      <c r="A2">
        <v>0</v>
      </c>
      <c r="B2">
        <f>$D$1-0.0065*A2*1000</f>
        <v>20</v>
      </c>
      <c r="C2">
        <f>$E$1*((1-(0.0065*A2*1000)/(B2+0.0065*A2*1000+273.15)))^5.257/10</f>
        <v>101.325</v>
      </c>
    </row>
    <row r="3" spans="1:8">
      <c r="A3">
        <v>0.1</v>
      </c>
      <c r="B3">
        <f t="shared" ref="B3:B21" si="0">$D$1-0.0065*A3*1000</f>
        <v>19.350000000000001</v>
      </c>
      <c r="C3">
        <f t="shared" ref="C3:C24" si="1">$E$1*((1-(0.0065*A3*1000)/(B3+0.0065*A3*1000+273.15)))^5.257/10</f>
        <v>100.1494841516363</v>
      </c>
    </row>
    <row r="4" spans="1:8">
      <c r="A4">
        <v>0.2</v>
      </c>
      <c r="B4">
        <f t="shared" si="0"/>
        <v>18.7</v>
      </c>
      <c r="C4">
        <f t="shared" si="1"/>
        <v>98.985036239041563</v>
      </c>
    </row>
    <row r="5" spans="1:8">
      <c r="A5">
        <v>0.3</v>
      </c>
      <c r="B5">
        <f t="shared" si="0"/>
        <v>18.05</v>
      </c>
      <c r="C5">
        <f t="shared" si="1"/>
        <v>97.831576355808622</v>
      </c>
    </row>
    <row r="6" spans="1:8">
      <c r="A6">
        <v>0.4</v>
      </c>
      <c r="B6">
        <f t="shared" si="0"/>
        <v>17.399999999999999</v>
      </c>
      <c r="C6">
        <f t="shared" si="1"/>
        <v>96.689024996189602</v>
      </c>
      <c r="H6">
        <f>FORECAST(10002,B2:B57,A2:A57)</f>
        <v>831.69141618269316</v>
      </c>
    </row>
    <row r="7" spans="1:8">
      <c r="A7">
        <v>0.5</v>
      </c>
      <c r="B7">
        <f t="shared" si="0"/>
        <v>16.75</v>
      </c>
      <c r="C7">
        <f t="shared" si="1"/>
        <v>95.557303053974735</v>
      </c>
    </row>
    <row r="8" spans="1:8">
      <c r="A8">
        <v>0.6</v>
      </c>
      <c r="B8">
        <f t="shared" si="0"/>
        <v>16.100000000000001</v>
      </c>
      <c r="C8">
        <f t="shared" si="1"/>
        <v>94.436331821371368</v>
      </c>
    </row>
    <row r="9" spans="1:8">
      <c r="A9">
        <v>0.7</v>
      </c>
      <c r="B9">
        <f t="shared" si="0"/>
        <v>15.450000000000001</v>
      </c>
      <c r="C9">
        <f t="shared" si="1"/>
        <v>93.326032987884133</v>
      </c>
    </row>
    <row r="10" spans="1:8">
      <c r="A10">
        <v>0.8</v>
      </c>
      <c r="B10">
        <f t="shared" si="0"/>
        <v>14.8</v>
      </c>
      <c r="C10">
        <f t="shared" si="1"/>
        <v>92.226328639195373</v>
      </c>
    </row>
    <row r="11" spans="1:8">
      <c r="A11">
        <v>0.9</v>
      </c>
      <c r="B11">
        <f t="shared" si="0"/>
        <v>14.149999999999999</v>
      </c>
      <c r="C11">
        <f t="shared" si="1"/>
        <v>91.137141256046533</v>
      </c>
    </row>
    <row r="12" spans="1:8">
      <c r="A12">
        <v>1</v>
      </c>
      <c r="B12">
        <f t="shared" si="0"/>
        <v>13.5</v>
      </c>
      <c r="C12">
        <f t="shared" si="1"/>
        <v>90.058393713120012</v>
      </c>
    </row>
    <row r="13" spans="1:8">
      <c r="A13">
        <v>2</v>
      </c>
      <c r="B13">
        <f t="shared" si="0"/>
        <v>7</v>
      </c>
      <c r="C13">
        <f t="shared" si="1"/>
        <v>79.828421358717705</v>
      </c>
    </row>
    <row r="14" spans="1:8">
      <c r="A14">
        <v>3</v>
      </c>
      <c r="B14">
        <f t="shared" si="0"/>
        <v>0.5</v>
      </c>
      <c r="C14">
        <f t="shared" si="1"/>
        <v>70.560477249593845</v>
      </c>
    </row>
    <row r="15" spans="1:8">
      <c r="A15">
        <v>4</v>
      </c>
      <c r="B15">
        <f>$D$1-0.0065*A15*1000</f>
        <v>-6</v>
      </c>
      <c r="C15">
        <f t="shared" si="1"/>
        <v>62.183761551405738</v>
      </c>
    </row>
    <row r="16" spans="1:8">
      <c r="A16">
        <v>5</v>
      </c>
      <c r="B16">
        <f t="shared" si="0"/>
        <v>-12.5</v>
      </c>
      <c r="C16">
        <f t="shared" si="1"/>
        <v>54.631169623983659</v>
      </c>
    </row>
    <row r="17" spans="1:3">
      <c r="A17">
        <v>6</v>
      </c>
      <c r="B17">
        <f t="shared" si="0"/>
        <v>-19</v>
      </c>
      <c r="C17">
        <f t="shared" si="1"/>
        <v>47.839182036256112</v>
      </c>
    </row>
    <row r="18" spans="1:3">
      <c r="A18">
        <v>7</v>
      </c>
      <c r="B18">
        <f t="shared" si="0"/>
        <v>-25.5</v>
      </c>
      <c r="C18">
        <f t="shared" si="1"/>
        <v>41.747755266929907</v>
      </c>
    </row>
    <row r="19" spans="1:3">
      <c r="A19">
        <v>8</v>
      </c>
      <c r="B19">
        <f t="shared" si="0"/>
        <v>-32</v>
      </c>
      <c r="C19">
        <f t="shared" si="1"/>
        <v>36.30021310359696</v>
      </c>
    </row>
    <row r="20" spans="1:3">
      <c r="A20">
        <v>9</v>
      </c>
      <c r="B20">
        <f t="shared" si="0"/>
        <v>-38.5</v>
      </c>
      <c r="C20">
        <f t="shared" si="1"/>
        <v>31.443138753504588</v>
      </c>
    </row>
    <row r="21" spans="1:3">
      <c r="A21">
        <v>10</v>
      </c>
      <c r="B21">
        <f t="shared" si="0"/>
        <v>-45</v>
      </c>
      <c r="C21">
        <f t="shared" si="1"/>
        <v>27.126267679829539</v>
      </c>
    </row>
    <row r="22" spans="1:3">
      <c r="A22">
        <v>20</v>
      </c>
      <c r="B22">
        <v>-50</v>
      </c>
      <c r="C22">
        <f t="shared" si="1"/>
        <v>9.0712868282388079</v>
      </c>
    </row>
    <row r="23" spans="1:3">
      <c r="A23">
        <v>30</v>
      </c>
      <c r="B23">
        <v>-45</v>
      </c>
      <c r="C23">
        <f t="shared" si="1"/>
        <v>3.9391350162468477</v>
      </c>
    </row>
    <row r="24" spans="1:3">
      <c r="A24">
        <v>40</v>
      </c>
      <c r="B24">
        <v>-25</v>
      </c>
      <c r="C24">
        <f t="shared" si="1"/>
        <v>2.3406151101988262</v>
      </c>
    </row>
    <row r="25" spans="1:3">
      <c r="A25">
        <v>50</v>
      </c>
      <c r="B25">
        <v>-5</v>
      </c>
      <c r="C25">
        <f>$E$1*((1-(0.0065*A25*1000)/(B25+0.0065*A25*1000+273.15)))^5.257/10</f>
        <v>1.5601729888549249</v>
      </c>
    </row>
    <row r="26" spans="1:3">
      <c r="A26">
        <v>60</v>
      </c>
      <c r="B26">
        <v>-25</v>
      </c>
      <c r="C26">
        <f t="shared" ref="C26:C39" si="2">$E$1*((1-(0.0065*A26*1000)/(B26+0.0065*A26*1000+273.15)))^5.257/10</f>
        <v>0.70672517043859295</v>
      </c>
    </row>
    <row r="27" spans="1:3">
      <c r="A27">
        <v>70</v>
      </c>
      <c r="B27">
        <v>-40</v>
      </c>
      <c r="C27">
        <f t="shared" si="2"/>
        <v>0.34251207186367755</v>
      </c>
    </row>
    <row r="28" spans="1:3">
      <c r="A28">
        <v>80</v>
      </c>
      <c r="B28">
        <v>-60</v>
      </c>
      <c r="C28">
        <f t="shared" si="2"/>
        <v>0.15321337338780691</v>
      </c>
    </row>
    <row r="29" spans="1:3">
      <c r="A29">
        <v>90</v>
      </c>
      <c r="B29">
        <v>-80</v>
      </c>
      <c r="C29">
        <f t="shared" si="2"/>
        <v>6.673370440008683E-2</v>
      </c>
    </row>
    <row r="30" spans="1:3">
      <c r="A30">
        <v>100</v>
      </c>
      <c r="B30">
        <v>-60</v>
      </c>
      <c r="C30">
        <f t="shared" si="2"/>
        <v>6.4954595403965157E-2</v>
      </c>
    </row>
    <row r="31" spans="1:3">
      <c r="A31">
        <v>200</v>
      </c>
      <c r="B31">
        <v>240</v>
      </c>
      <c r="C31">
        <f t="shared" si="2"/>
        <v>0.13301019525642235</v>
      </c>
    </row>
    <row r="32" spans="1:3">
      <c r="A32">
        <v>300</v>
      </c>
      <c r="B32">
        <v>540</v>
      </c>
      <c r="C32">
        <f t="shared" si="2"/>
        <v>0.16331292251579918</v>
      </c>
    </row>
    <row r="33" spans="1:3">
      <c r="A33">
        <v>400</v>
      </c>
      <c r="B33">
        <v>840</v>
      </c>
      <c r="C33">
        <f t="shared" si="2"/>
        <v>0.18001681536539277</v>
      </c>
    </row>
    <row r="34" spans="1:3">
      <c r="A34">
        <v>500</v>
      </c>
      <c r="B34">
        <v>1080</v>
      </c>
      <c r="C34">
        <f t="shared" si="2"/>
        <v>0.16237584536151181</v>
      </c>
    </row>
    <row r="35" spans="1:3">
      <c r="A35">
        <v>600</v>
      </c>
      <c r="B35">
        <v>1400</v>
      </c>
      <c r="C35">
        <f t="shared" si="2"/>
        <v>0.18137938118559507</v>
      </c>
    </row>
    <row r="36" spans="1:3">
      <c r="A36">
        <v>700</v>
      </c>
      <c r="B36">
        <v>1700</v>
      </c>
      <c r="C36">
        <f t="shared" si="2"/>
        <v>0.18869956481543343</v>
      </c>
    </row>
    <row r="37" spans="1:3">
      <c r="A37">
        <v>800</v>
      </c>
      <c r="B37">
        <v>2000</v>
      </c>
      <c r="C37">
        <f t="shared" si="2"/>
        <v>0.19431286657463545</v>
      </c>
    </row>
    <row r="38" spans="1:3">
      <c r="A38">
        <v>900</v>
      </c>
      <c r="B38">
        <v>2000</v>
      </c>
      <c r="C38">
        <f t="shared" si="2"/>
        <v>0.12533978711394095</v>
      </c>
    </row>
    <row r="39" spans="1:3">
      <c r="A39">
        <v>1000</v>
      </c>
      <c r="B39">
        <v>2000</v>
      </c>
      <c r="C39">
        <f t="shared" si="2"/>
        <v>8.3626082959902481E-2</v>
      </c>
    </row>
    <row r="40" spans="1:3">
      <c r="A40">
        <v>2000</v>
      </c>
      <c r="B40">
        <v>2000</v>
      </c>
      <c r="C40">
        <v>0</v>
      </c>
    </row>
    <row r="41" spans="1:3">
      <c r="A41">
        <v>3000</v>
      </c>
      <c r="B41">
        <v>2000</v>
      </c>
      <c r="C41">
        <v>0</v>
      </c>
    </row>
    <row r="42" spans="1:3">
      <c r="A42">
        <v>4000</v>
      </c>
      <c r="B42">
        <v>2000</v>
      </c>
      <c r="C42">
        <v>0</v>
      </c>
    </row>
    <row r="43" spans="1:3">
      <c r="A43">
        <v>5000</v>
      </c>
      <c r="B43">
        <v>2000</v>
      </c>
      <c r="C43">
        <v>0</v>
      </c>
    </row>
    <row r="44" spans="1:3">
      <c r="A44">
        <v>6000</v>
      </c>
      <c r="B44">
        <v>2000</v>
      </c>
      <c r="C44">
        <v>0</v>
      </c>
    </row>
    <row r="45" spans="1:3">
      <c r="A45">
        <v>7000</v>
      </c>
      <c r="B45">
        <v>2000</v>
      </c>
      <c r="C45">
        <v>0</v>
      </c>
    </row>
    <row r="46" spans="1:3">
      <c r="A46">
        <v>8000</v>
      </c>
      <c r="B46">
        <v>2000</v>
      </c>
      <c r="C46">
        <v>0</v>
      </c>
    </row>
    <row r="47" spans="1:3">
      <c r="A47">
        <v>9000</v>
      </c>
      <c r="B47">
        <v>2000</v>
      </c>
      <c r="C47">
        <v>0</v>
      </c>
    </row>
    <row r="48" spans="1:3">
      <c r="A48">
        <v>10000</v>
      </c>
      <c r="B48">
        <v>2000</v>
      </c>
      <c r="C48">
        <v>0</v>
      </c>
    </row>
    <row r="49" spans="1:3">
      <c r="A49">
        <v>20000</v>
      </c>
      <c r="B49">
        <v>2000</v>
      </c>
      <c r="C49">
        <v>0</v>
      </c>
    </row>
    <row r="50" spans="1:3">
      <c r="A50">
        <v>30000</v>
      </c>
      <c r="B50">
        <v>2000</v>
      </c>
      <c r="C50">
        <v>0</v>
      </c>
    </row>
    <row r="51" spans="1:3">
      <c r="A51">
        <v>40000</v>
      </c>
      <c r="B51">
        <v>2000</v>
      </c>
      <c r="C51">
        <v>0</v>
      </c>
    </row>
    <row r="52" spans="1:3">
      <c r="A52">
        <v>50000</v>
      </c>
      <c r="B52">
        <v>2000</v>
      </c>
      <c r="C52">
        <v>0</v>
      </c>
    </row>
    <row r="53" spans="1:3">
      <c r="A53">
        <v>60000</v>
      </c>
      <c r="B53">
        <v>2000</v>
      </c>
      <c r="C53">
        <v>0</v>
      </c>
    </row>
    <row r="54" spans="1:3">
      <c r="A54">
        <v>70000</v>
      </c>
      <c r="B54">
        <v>2000</v>
      </c>
      <c r="C54">
        <v>0</v>
      </c>
    </row>
    <row r="55" spans="1:3">
      <c r="A55">
        <v>80000</v>
      </c>
      <c r="B55">
        <v>2000</v>
      </c>
      <c r="C55">
        <v>0</v>
      </c>
    </row>
    <row r="56" spans="1:3">
      <c r="A56">
        <v>90000</v>
      </c>
      <c r="B56">
        <v>2000</v>
      </c>
      <c r="C56">
        <v>0</v>
      </c>
    </row>
    <row r="57" spans="1:3">
      <c r="A57">
        <v>100000</v>
      </c>
      <c r="B57">
        <v>2000</v>
      </c>
      <c r="C57"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7"/>
  <sheetViews>
    <sheetView workbookViewId="0">
      <selection activeCell="B2" sqref="B2"/>
    </sheetView>
  </sheetViews>
  <sheetFormatPr defaultRowHeight="13.5"/>
  <cols>
    <col min="2" max="2" width="14.625" customWidth="1"/>
  </cols>
  <sheetData>
    <row r="1" spans="1:4" ht="51" customHeight="1">
      <c r="A1" s="1" t="s">
        <v>2</v>
      </c>
      <c r="B1" s="1" t="s">
        <v>1</v>
      </c>
      <c r="C1">
        <v>9.8066499999999994</v>
      </c>
      <c r="D1">
        <v>6356.7659999999996</v>
      </c>
    </row>
    <row r="2" spans="1:4">
      <c r="A2">
        <v>0</v>
      </c>
      <c r="B2">
        <f>$C$1*($D$1/($D$1+A2))^2</f>
        <v>9.8066499999999994</v>
      </c>
    </row>
    <row r="3" spans="1:4">
      <c r="A3">
        <v>0.1</v>
      </c>
      <c r="B3">
        <f t="shared" ref="B3:B29" si="0">$C$1*($D$1/($D$1+A3))^2</f>
        <v>9.8063414651696057</v>
      </c>
    </row>
    <row r="4" spans="1:4">
      <c r="A4">
        <v>0.2</v>
      </c>
      <c r="B4">
        <f t="shared" si="0"/>
        <v>9.8060329448995756</v>
      </c>
    </row>
    <row r="5" spans="1:4">
      <c r="A5">
        <v>0.3</v>
      </c>
      <c r="B5">
        <f t="shared" si="0"/>
        <v>9.8057244391889888</v>
      </c>
    </row>
    <row r="6" spans="1:4">
      <c r="A6">
        <v>0.4</v>
      </c>
      <c r="B6">
        <f t="shared" si="0"/>
        <v>9.8054159480369325</v>
      </c>
    </row>
    <row r="7" spans="1:4">
      <c r="A7">
        <v>0.5</v>
      </c>
      <c r="B7">
        <f t="shared" si="0"/>
        <v>9.8051074714424864</v>
      </c>
    </row>
    <row r="8" spans="1:4">
      <c r="A8">
        <v>0.6</v>
      </c>
      <c r="B8">
        <f t="shared" si="0"/>
        <v>9.8047990094047393</v>
      </c>
    </row>
    <row r="9" spans="1:4">
      <c r="A9">
        <v>0.7</v>
      </c>
      <c r="B9">
        <f t="shared" si="0"/>
        <v>9.8044905619227745</v>
      </c>
    </row>
    <row r="10" spans="1:4">
      <c r="A10">
        <v>0.8</v>
      </c>
      <c r="B10">
        <f t="shared" si="0"/>
        <v>9.8041821289956737</v>
      </c>
    </row>
    <row r="11" spans="1:4">
      <c r="A11">
        <v>0.9</v>
      </c>
      <c r="B11">
        <f t="shared" si="0"/>
        <v>9.8038737106225238</v>
      </c>
    </row>
    <row r="12" spans="1:4">
      <c r="A12">
        <v>1</v>
      </c>
      <c r="B12">
        <f t="shared" si="0"/>
        <v>9.8035653068024047</v>
      </c>
    </row>
    <row r="13" spans="1:4">
      <c r="A13">
        <v>2</v>
      </c>
      <c r="B13">
        <f t="shared" si="0"/>
        <v>9.8004820688167058</v>
      </c>
    </row>
    <row r="14" spans="1:4">
      <c r="A14">
        <v>3</v>
      </c>
      <c r="B14">
        <f t="shared" si="0"/>
        <v>9.7974002851277078</v>
      </c>
    </row>
    <row r="15" spans="1:4">
      <c r="A15">
        <v>4</v>
      </c>
      <c r="B15">
        <f t="shared" si="0"/>
        <v>9.7943199548209456</v>
      </c>
    </row>
    <row r="16" spans="1:4">
      <c r="A16">
        <v>5</v>
      </c>
      <c r="B16">
        <f t="shared" si="0"/>
        <v>9.791241076982665</v>
      </c>
    </row>
    <row r="17" spans="1:2">
      <c r="A17">
        <v>6</v>
      </c>
      <c r="B17">
        <f t="shared" si="0"/>
        <v>9.7881636506998344</v>
      </c>
    </row>
    <row r="18" spans="1:2">
      <c r="A18">
        <v>7</v>
      </c>
      <c r="B18">
        <f t="shared" si="0"/>
        <v>9.7850876750601383</v>
      </c>
    </row>
    <row r="19" spans="1:2">
      <c r="A19">
        <v>8</v>
      </c>
      <c r="B19">
        <f t="shared" si="0"/>
        <v>9.7820131491519753</v>
      </c>
    </row>
    <row r="20" spans="1:2">
      <c r="A20">
        <v>9</v>
      </c>
      <c r="B20">
        <f t="shared" si="0"/>
        <v>9.7789400720644615</v>
      </c>
    </row>
    <row r="21" spans="1:2">
      <c r="A21">
        <v>10</v>
      </c>
      <c r="B21">
        <f t="shared" si="0"/>
        <v>9.7758684428874343</v>
      </c>
    </row>
    <row r="22" spans="1:2">
      <c r="A22">
        <v>20</v>
      </c>
      <c r="B22">
        <f t="shared" si="0"/>
        <v>9.745231586466776</v>
      </c>
    </row>
    <row r="23" spans="1:2">
      <c r="A23">
        <v>30</v>
      </c>
      <c r="B23">
        <f t="shared" si="0"/>
        <v>9.7147385251945906</v>
      </c>
    </row>
    <row r="24" spans="1:2">
      <c r="A24">
        <v>40</v>
      </c>
      <c r="B24">
        <f t="shared" si="0"/>
        <v>9.6843883606000336</v>
      </c>
    </row>
    <row r="25" spans="1:2">
      <c r="A25">
        <v>50</v>
      </c>
      <c r="B25">
        <f t="shared" si="0"/>
        <v>9.6541802012186828</v>
      </c>
    </row>
    <row r="26" spans="1:2">
      <c r="A26">
        <v>60</v>
      </c>
      <c r="B26">
        <f t="shared" si="0"/>
        <v>9.6241131625270597</v>
      </c>
    </row>
    <row r="27" spans="1:2">
      <c r="A27">
        <v>70</v>
      </c>
      <c r="B27">
        <f t="shared" si="0"/>
        <v>9.5941863668778993</v>
      </c>
    </row>
    <row r="28" spans="1:2">
      <c r="A28">
        <v>80</v>
      </c>
      <c r="B28">
        <f t="shared" si="0"/>
        <v>9.5643989434360801</v>
      </c>
    </row>
    <row r="29" spans="1:2">
      <c r="A29">
        <v>90</v>
      </c>
      <c r="B29">
        <f t="shared" si="0"/>
        <v>9.5347500281152904</v>
      </c>
    </row>
    <row r="30" spans="1:2">
      <c r="A30">
        <v>100</v>
      </c>
      <c r="B30">
        <f t="shared" ref="B30:B57" si="1">$C$1*($D$1/($D$1+A30))^2</f>
        <v>9.5052387635153561</v>
      </c>
    </row>
    <row r="31" spans="1:2">
      <c r="A31">
        <v>200</v>
      </c>
      <c r="B31">
        <f t="shared" si="1"/>
        <v>9.2175129375974123</v>
      </c>
    </row>
    <row r="32" spans="1:2">
      <c r="A32">
        <v>300</v>
      </c>
      <c r="B32">
        <f t="shared" si="1"/>
        <v>8.9426563850040228</v>
      </c>
    </row>
    <row r="33" spans="1:2">
      <c r="A33">
        <v>400</v>
      </c>
      <c r="B33">
        <f t="shared" si="1"/>
        <v>8.6799129122159115</v>
      </c>
    </row>
    <row r="34" spans="1:2">
      <c r="A34">
        <v>500</v>
      </c>
      <c r="B34">
        <f t="shared" si="1"/>
        <v>8.4285810627112454</v>
      </c>
    </row>
    <row r="35" spans="1:2">
      <c r="A35">
        <v>600</v>
      </c>
      <c r="B35">
        <f t="shared" si="1"/>
        <v>8.1880094303355548</v>
      </c>
    </row>
    <row r="36" spans="1:2">
      <c r="A36">
        <v>700</v>
      </c>
      <c r="B36">
        <f t="shared" si="1"/>
        <v>7.957592434229749</v>
      </c>
    </row>
    <row r="37" spans="1:2">
      <c r="A37">
        <v>800</v>
      </c>
      <c r="B37">
        <f t="shared" si="1"/>
        <v>7.7367665040879912</v>
      </c>
    </row>
    <row r="38" spans="1:2">
      <c r="A38">
        <v>900</v>
      </c>
      <c r="B38">
        <f t="shared" si="1"/>
        <v>7.5250066308260557</v>
      </c>
    </row>
    <row r="39" spans="1:2">
      <c r="A39">
        <v>1000</v>
      </c>
      <c r="B39">
        <f t="shared" si="1"/>
        <v>7.321823243198196</v>
      </c>
    </row>
    <row r="40" spans="1:2">
      <c r="A40">
        <v>2000</v>
      </c>
      <c r="B40">
        <f t="shared" si="1"/>
        <v>5.6743568219423404</v>
      </c>
    </row>
    <row r="41" spans="1:2">
      <c r="A41">
        <v>3000</v>
      </c>
      <c r="B41">
        <f t="shared" si="1"/>
        <v>4.5262817919130818</v>
      </c>
    </row>
    <row r="42" spans="1:2">
      <c r="A42">
        <v>4000</v>
      </c>
      <c r="B42">
        <f t="shared" si="1"/>
        <v>3.6944075011554491</v>
      </c>
    </row>
    <row r="43" spans="1:2">
      <c r="A43">
        <v>5000</v>
      </c>
      <c r="B43">
        <f t="shared" si="1"/>
        <v>3.0724425451381454</v>
      </c>
    </row>
    <row r="44" spans="1:2">
      <c r="A44">
        <v>6000</v>
      </c>
      <c r="B44">
        <f t="shared" si="1"/>
        <v>2.5952755794154498</v>
      </c>
    </row>
    <row r="45" spans="1:2">
      <c r="A45">
        <v>7000</v>
      </c>
      <c r="B45">
        <f t="shared" si="1"/>
        <v>2.2212144503763604</v>
      </c>
    </row>
    <row r="46" spans="1:2">
      <c r="A46">
        <v>8000</v>
      </c>
      <c r="B46">
        <f t="shared" si="1"/>
        <v>1.9225599076048332</v>
      </c>
    </row>
    <row r="47" spans="1:2">
      <c r="A47">
        <v>9000</v>
      </c>
      <c r="B47">
        <f t="shared" si="1"/>
        <v>1.6803261719628855</v>
      </c>
    </row>
    <row r="48" spans="1:2">
      <c r="A48">
        <v>10000</v>
      </c>
      <c r="B48">
        <f t="shared" si="1"/>
        <v>1.4811472748092711</v>
      </c>
    </row>
    <row r="49" spans="1:2">
      <c r="A49">
        <v>20000</v>
      </c>
      <c r="B49">
        <f t="shared" si="1"/>
        <v>0.57043857137741127</v>
      </c>
    </row>
    <row r="50" spans="1:2">
      <c r="A50">
        <v>30000</v>
      </c>
      <c r="B50">
        <f t="shared" si="1"/>
        <v>0.29979379189479805</v>
      </c>
    </row>
    <row r="51" spans="1:2">
      <c r="A51">
        <v>40000</v>
      </c>
      <c r="B51">
        <f t="shared" si="1"/>
        <v>0.18440252528476977</v>
      </c>
    </row>
    <row r="52" spans="1:2">
      <c r="A52">
        <v>50000</v>
      </c>
      <c r="B52">
        <f t="shared" si="1"/>
        <v>0.12476736362963618</v>
      </c>
    </row>
    <row r="53" spans="1:2">
      <c r="A53">
        <v>60000</v>
      </c>
      <c r="B53">
        <f t="shared" si="1"/>
        <v>8.999589525104279E-2</v>
      </c>
    </row>
    <row r="54" spans="1:2">
      <c r="A54">
        <v>70000</v>
      </c>
      <c r="B54">
        <f t="shared" si="1"/>
        <v>6.7966995631788527E-2</v>
      </c>
    </row>
    <row r="55" spans="1:2">
      <c r="A55">
        <v>80000</v>
      </c>
      <c r="B55">
        <f t="shared" si="1"/>
        <v>5.3137410362040567E-2</v>
      </c>
    </row>
    <row r="56" spans="1:2">
      <c r="A56">
        <v>90000</v>
      </c>
      <c r="B56">
        <f t="shared" si="1"/>
        <v>4.2680420970732172E-2</v>
      </c>
    </row>
    <row r="57" spans="1:2">
      <c r="A57">
        <v>100000</v>
      </c>
      <c r="B57">
        <f t="shared" si="1"/>
        <v>3.5031834365405641E-2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K14" sqref="K14"/>
    </sheetView>
  </sheetViews>
  <sheetFormatPr defaultRowHeight="13.5"/>
  <cols>
    <col min="1" max="1" width="14.75" bestFit="1" customWidth="1"/>
    <col min="2" max="2" width="23.5" bestFit="1" customWidth="1"/>
    <col min="3" max="4" width="23.5" customWidth="1"/>
    <col min="5" max="5" width="13.375" customWidth="1"/>
  </cols>
  <sheetData>
    <row r="1" spans="1:7">
      <c r="A1" t="s">
        <v>3</v>
      </c>
      <c r="B1" t="s">
        <v>44</v>
      </c>
      <c r="D1" t="s">
        <v>51</v>
      </c>
      <c r="E1" t="s">
        <v>42</v>
      </c>
      <c r="F1" t="s">
        <v>43</v>
      </c>
      <c r="G1" t="s">
        <v>52</v>
      </c>
    </row>
    <row r="2" spans="1:7">
      <c r="A2" t="s">
        <v>5</v>
      </c>
      <c r="B2" t="s">
        <v>0</v>
      </c>
      <c r="C2" t="s">
        <v>88</v>
      </c>
      <c r="E2" s="2">
        <v>9.8070000000000004</v>
      </c>
      <c r="F2" t="s">
        <v>20</v>
      </c>
      <c r="G2">
        <f t="shared" ref="G2:G7" si="0">IF(D2=0,E2,D2)</f>
        <v>9.8070000000000004</v>
      </c>
    </row>
    <row r="3" spans="1:7">
      <c r="A3" t="s">
        <v>7</v>
      </c>
      <c r="B3" t="s">
        <v>22</v>
      </c>
      <c r="C3" t="s">
        <v>89</v>
      </c>
      <c r="E3" s="2">
        <v>1000</v>
      </c>
      <c r="F3" t="s">
        <v>23</v>
      </c>
      <c r="G3">
        <f t="shared" si="0"/>
        <v>1000</v>
      </c>
    </row>
    <row r="4" spans="1:7">
      <c r="A4" t="s">
        <v>8</v>
      </c>
      <c r="B4" t="s">
        <v>24</v>
      </c>
      <c r="C4" t="s">
        <v>90</v>
      </c>
      <c r="E4" s="2">
        <v>0.08</v>
      </c>
      <c r="F4" t="s">
        <v>25</v>
      </c>
      <c r="G4">
        <f t="shared" si="0"/>
        <v>0.08</v>
      </c>
    </row>
    <row r="5" spans="1:7">
      <c r="A5" t="s">
        <v>9</v>
      </c>
      <c r="B5" t="s">
        <v>53</v>
      </c>
      <c r="C5" t="s">
        <v>91</v>
      </c>
      <c r="D5">
        <v>1000</v>
      </c>
      <c r="E5" s="3">
        <f>E3*E7</f>
        <v>0.2</v>
      </c>
      <c r="F5" t="s">
        <v>25</v>
      </c>
      <c r="G5">
        <f t="shared" si="0"/>
        <v>1000</v>
      </c>
    </row>
    <row r="6" spans="1:7">
      <c r="A6" t="s">
        <v>10</v>
      </c>
      <c r="B6" t="s">
        <v>26</v>
      </c>
      <c r="C6" t="s">
        <v>92</v>
      </c>
      <c r="D6">
        <f>AVERAGE(G4,G5)</f>
        <v>500.04</v>
      </c>
      <c r="E6">
        <v>0.1</v>
      </c>
      <c r="F6" t="s">
        <v>25</v>
      </c>
      <c r="G6">
        <f t="shared" si="0"/>
        <v>500.04</v>
      </c>
    </row>
    <row r="7" spans="1:7">
      <c r="A7" t="s">
        <v>11</v>
      </c>
      <c r="B7" t="s">
        <v>27</v>
      </c>
      <c r="C7" t="s">
        <v>93</v>
      </c>
      <c r="E7" s="2">
        <v>2.0000000000000001E-4</v>
      </c>
      <c r="F7" t="s">
        <v>54</v>
      </c>
      <c r="G7">
        <f t="shared" si="0"/>
        <v>2.0000000000000001E-4</v>
      </c>
    </row>
    <row r="9" spans="1:7">
      <c r="A9" t="s">
        <v>12</v>
      </c>
      <c r="B9" t="s">
        <v>28</v>
      </c>
      <c r="C9" t="s">
        <v>94</v>
      </c>
      <c r="E9" s="2">
        <v>3.0000000000000001E-3</v>
      </c>
      <c r="F9" t="s">
        <v>29</v>
      </c>
      <c r="G9">
        <f>IF(D9=0,E9,D9)</f>
        <v>3.0000000000000001E-3</v>
      </c>
    </row>
    <row r="10" spans="1:7">
      <c r="A10" t="s">
        <v>13</v>
      </c>
      <c r="B10" t="s">
        <v>30</v>
      </c>
      <c r="C10" t="s">
        <v>95</v>
      </c>
      <c r="D10">
        <f>G9*G9*PI()</f>
        <v>2.8274333882308137E-5</v>
      </c>
      <c r="E10">
        <v>3.0000000000000001E-5</v>
      </c>
      <c r="F10" t="s">
        <v>31</v>
      </c>
      <c r="G10">
        <f t="shared" ref="G10" si="1">IF(D10=0,E10,D10)</f>
        <v>2.8274333882308137E-5</v>
      </c>
    </row>
    <row r="12" spans="1:7">
      <c r="A12" t="s">
        <v>45</v>
      </c>
      <c r="B12" t="s">
        <v>46</v>
      </c>
      <c r="C12" t="s">
        <v>96</v>
      </c>
      <c r="D12">
        <v>303</v>
      </c>
      <c r="E12" s="2">
        <v>303</v>
      </c>
      <c r="F12" t="s">
        <v>32</v>
      </c>
      <c r="G12">
        <f>IF(D12=0,E12,D12)</f>
        <v>303</v>
      </c>
    </row>
    <row r="13" spans="1:7">
      <c r="A13" t="s">
        <v>48</v>
      </c>
      <c r="B13" t="s">
        <v>47</v>
      </c>
      <c r="C13" t="s">
        <v>97</v>
      </c>
      <c r="E13" s="3">
        <v>101.3</v>
      </c>
      <c r="F13" t="s">
        <v>49</v>
      </c>
      <c r="G13">
        <f>IF(D13=0,E13,D13)</f>
        <v>101.3</v>
      </c>
    </row>
    <row r="14" spans="1:7">
      <c r="A14" t="s">
        <v>16</v>
      </c>
      <c r="B14" t="s">
        <v>38</v>
      </c>
      <c r="C14" t="s">
        <v>98</v>
      </c>
      <c r="D14">
        <f>SQRT(2*(G12-G13)/G3*1000)</f>
        <v>20.084820138602186</v>
      </c>
      <c r="E14">
        <v>20</v>
      </c>
      <c r="F14" t="s">
        <v>37</v>
      </c>
      <c r="G14">
        <f>IF(D14=0,E14,D14)</f>
        <v>20.084820138602186</v>
      </c>
    </row>
    <row r="16" spans="1:7">
      <c r="A16" t="s">
        <v>83</v>
      </c>
      <c r="B16" t="s">
        <v>84</v>
      </c>
      <c r="C16" t="s">
        <v>99</v>
      </c>
      <c r="E16">
        <v>0.05</v>
      </c>
      <c r="F16" t="s">
        <v>85</v>
      </c>
      <c r="G16">
        <f t="shared" ref="G16:G17" si="2">IF(D16=0,E16,D16)</f>
        <v>0.05</v>
      </c>
    </row>
    <row r="17" spans="1:7">
      <c r="A17" t="s">
        <v>81</v>
      </c>
      <c r="B17" t="s">
        <v>82</v>
      </c>
      <c r="C17" t="s">
        <v>100</v>
      </c>
      <c r="D17">
        <f>G16*G16*PI()</f>
        <v>7.8539816339744835E-3</v>
      </c>
      <c r="E17">
        <v>8.0000000000000002E-3</v>
      </c>
      <c r="F17" t="s">
        <v>86</v>
      </c>
      <c r="G17">
        <f t="shared" si="2"/>
        <v>7.8539816339744835E-3</v>
      </c>
    </row>
    <row r="19" spans="1:7">
      <c r="A19" t="s">
        <v>14</v>
      </c>
      <c r="B19" t="s">
        <v>33</v>
      </c>
      <c r="C19" t="s">
        <v>110</v>
      </c>
      <c r="D19">
        <f>G3*G10*G14*G14</f>
        <v>11.405866288123102</v>
      </c>
      <c r="E19">
        <v>12</v>
      </c>
      <c r="F19" t="s">
        <v>34</v>
      </c>
      <c r="G19">
        <f>IF(D19=0,E19,D19)</f>
        <v>11.405866288123102</v>
      </c>
    </row>
    <row r="20" spans="1:7">
      <c r="A20" t="s">
        <v>4</v>
      </c>
      <c r="B20" t="s">
        <v>57</v>
      </c>
      <c r="C20" t="s">
        <v>101</v>
      </c>
      <c r="D20">
        <f>G19*G24</f>
        <v>4.0169640277204381</v>
      </c>
      <c r="E20">
        <v>4</v>
      </c>
      <c r="F20" t="s">
        <v>58</v>
      </c>
      <c r="G20">
        <f>IF(D20=0,E20,D20)</f>
        <v>4.0169640277204381</v>
      </c>
    </row>
    <row r="21" spans="1:7">
      <c r="A21" t="s">
        <v>15</v>
      </c>
      <c r="B21" t="s">
        <v>35</v>
      </c>
      <c r="C21" t="s">
        <v>102</v>
      </c>
      <c r="D21">
        <f>G19/((G4+G5)*G2)</f>
        <v>1.1629401337627976E-3</v>
      </c>
      <c r="E21">
        <v>4.3</v>
      </c>
      <c r="F21" t="s">
        <v>36</v>
      </c>
      <c r="G21">
        <f>IF(D21=0,E21,D21)</f>
        <v>1.1629401337627976E-3</v>
      </c>
    </row>
    <row r="23" spans="1:7">
      <c r="A23" t="s">
        <v>65</v>
      </c>
      <c r="B23" t="s">
        <v>66</v>
      </c>
      <c r="C23" t="s">
        <v>103</v>
      </c>
      <c r="E23" s="2">
        <v>0</v>
      </c>
      <c r="F23" t="s">
        <v>67</v>
      </c>
      <c r="G23">
        <f t="shared" ref="G23" si="3">IF(D23=0,E23,D23)</f>
        <v>0</v>
      </c>
    </row>
    <row r="24" spans="1:7">
      <c r="A24" t="s">
        <v>6</v>
      </c>
      <c r="B24" t="s">
        <v>56</v>
      </c>
      <c r="C24" t="s">
        <v>111</v>
      </c>
      <c r="D24">
        <f>G7/(G10*G14)</f>
        <v>0.35218403637637696</v>
      </c>
      <c r="F24" t="s">
        <v>21</v>
      </c>
      <c r="G24">
        <f>IF(D24=0,E24,D24)</f>
        <v>0.35218403637637696</v>
      </c>
    </row>
    <row r="25" spans="1:7">
      <c r="A25" t="s">
        <v>18</v>
      </c>
      <c r="B25" t="s">
        <v>40</v>
      </c>
      <c r="C25" t="s">
        <v>109</v>
      </c>
      <c r="D25">
        <f>(G14+G23)*G24-0.5*G2*G24*G24</f>
        <v>6.4653542908783361</v>
      </c>
      <c r="F25" t="s">
        <v>29</v>
      </c>
      <c r="G25">
        <f>IF(D25=0,E25,D25)</f>
        <v>6.4653542908783361</v>
      </c>
    </row>
    <row r="27" spans="1:7">
      <c r="A27" t="s">
        <v>17</v>
      </c>
      <c r="B27" t="s">
        <v>39</v>
      </c>
      <c r="C27" t="s">
        <v>104</v>
      </c>
      <c r="D27">
        <f>G14</f>
        <v>20.084820138602186</v>
      </c>
      <c r="F27" t="s">
        <v>37</v>
      </c>
      <c r="G27">
        <f>IF(D27=0,E27,D27)</f>
        <v>20.084820138602186</v>
      </c>
    </row>
    <row r="28" spans="1:7">
      <c r="A28" t="s">
        <v>59</v>
      </c>
      <c r="B28" t="s">
        <v>60</v>
      </c>
      <c r="C28" t="s">
        <v>105</v>
      </c>
      <c r="D28">
        <f>G14/G2</f>
        <v>2.0480085794434775</v>
      </c>
      <c r="F28" t="s">
        <v>61</v>
      </c>
      <c r="G28">
        <f>IF(D28=0,E28,D28)</f>
        <v>2.0480085794434775</v>
      </c>
    </row>
    <row r="29" spans="1:7">
      <c r="A29" t="s">
        <v>62</v>
      </c>
      <c r="B29" t="s">
        <v>63</v>
      </c>
      <c r="C29" t="s">
        <v>106</v>
      </c>
      <c r="D29">
        <f>G27*G28-0.5*G2*G28*G28</f>
        <v>20.566941980218211</v>
      </c>
      <c r="F29" t="s">
        <v>64</v>
      </c>
      <c r="G29">
        <f>IF(D29=0,E29,D29)</f>
        <v>20.566941980218211</v>
      </c>
    </row>
    <row r="31" spans="1:7">
      <c r="A31" t="s">
        <v>19</v>
      </c>
      <c r="B31" t="s">
        <v>41</v>
      </c>
      <c r="C31" t="s">
        <v>107</v>
      </c>
      <c r="D31" s="5">
        <f>G25+G29</f>
        <v>27.032296271096548</v>
      </c>
      <c r="F31" t="s">
        <v>29</v>
      </c>
      <c r="G31">
        <f>IF(D31=0,E31,D31)</f>
        <v>27.032296271096548</v>
      </c>
    </row>
    <row r="32" spans="1:7">
      <c r="A32" t="s">
        <v>69</v>
      </c>
      <c r="B32" t="s">
        <v>41</v>
      </c>
      <c r="C32" t="s">
        <v>107</v>
      </c>
      <c r="D32" s="4">
        <f>(G25+G29)/1000</f>
        <v>2.7032296271096549E-2</v>
      </c>
      <c r="F32" t="s">
        <v>68</v>
      </c>
      <c r="G32">
        <f>IF(D32=0,E32,D32)</f>
        <v>2.7032296271096549E-2</v>
      </c>
    </row>
    <row r="35" spans="1:7">
      <c r="A35" t="s">
        <v>78</v>
      </c>
      <c r="B35" t="s">
        <v>79</v>
      </c>
      <c r="C35" t="s">
        <v>112</v>
      </c>
      <c r="E35" s="2">
        <v>20</v>
      </c>
      <c r="F35" t="s">
        <v>80</v>
      </c>
      <c r="G35">
        <f t="shared" ref="G35:G36" si="4">IF(D35=0,E35,D35)</f>
        <v>20</v>
      </c>
    </row>
    <row r="36" spans="1:7">
      <c r="A36" t="s">
        <v>76</v>
      </c>
      <c r="B36" t="s">
        <v>77</v>
      </c>
      <c r="C36" t="s">
        <v>113</v>
      </c>
      <c r="E36" s="2">
        <v>2.87</v>
      </c>
      <c r="G36">
        <f t="shared" si="4"/>
        <v>2.87</v>
      </c>
    </row>
    <row r="37" spans="1:7">
      <c r="A37" t="s">
        <v>73</v>
      </c>
      <c r="B37" t="s">
        <v>71</v>
      </c>
      <c r="C37" t="s">
        <v>114</v>
      </c>
      <c r="E37" s="2">
        <v>0.52</v>
      </c>
      <c r="G37">
        <f>IF(D37=0,E37,D37)</f>
        <v>0.52</v>
      </c>
    </row>
    <row r="38" spans="1:7">
      <c r="A38" t="s">
        <v>74</v>
      </c>
      <c r="B38" t="s">
        <v>75</v>
      </c>
      <c r="C38" t="s">
        <v>115</v>
      </c>
      <c r="D38">
        <f>G13*10/(G36*(G35+273.15))</f>
        <v>1.2040309482308291</v>
      </c>
      <c r="E38" s="3">
        <v>1.2042999999999999</v>
      </c>
      <c r="F38" t="s">
        <v>116</v>
      </c>
      <c r="G38">
        <f t="shared" ref="G38" si="5">IF(D38=0,E38,D38)</f>
        <v>1.2040309482308291</v>
      </c>
    </row>
    <row r="40" spans="1:7">
      <c r="A40" t="s">
        <v>70</v>
      </c>
      <c r="B40" t="s">
        <v>72</v>
      </c>
      <c r="C40" t="s">
        <v>108</v>
      </c>
      <c r="D40">
        <f>G37*G38*G17*G27*G27/2</f>
        <v>0.99182893349820989</v>
      </c>
      <c r="F40" t="s">
        <v>87</v>
      </c>
      <c r="G40">
        <f t="shared" ref="G40" si="6">IF(D40=0,E40,D40)</f>
        <v>0.99182893349820989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C42" sqref="C42"/>
    </sheetView>
  </sheetViews>
  <sheetFormatPr defaultRowHeight="13.5"/>
  <cols>
    <col min="1" max="1" width="9" style="6"/>
    <col min="2" max="2" width="21.125" style="6" customWidth="1"/>
    <col min="3" max="3" width="27.875" style="6" customWidth="1"/>
    <col min="4" max="4" width="18.5" style="6" customWidth="1"/>
    <col min="5" max="9" width="39.25" style="6" customWidth="1"/>
    <col min="10" max="16384" width="9" style="6"/>
  </cols>
  <sheetData>
    <row r="1" spans="1:5" ht="14.25" thickBot="1">
      <c r="A1" s="6" t="s">
        <v>117</v>
      </c>
      <c r="B1" s="6" t="s">
        <v>158</v>
      </c>
      <c r="C1" s="6" t="s">
        <v>164</v>
      </c>
      <c r="D1" s="6" t="s">
        <v>165</v>
      </c>
    </row>
    <row r="2" spans="1:5" ht="14.25" thickBot="1">
      <c r="A2" s="7"/>
      <c r="B2" s="8"/>
      <c r="C2" s="8"/>
      <c r="D2" s="8"/>
      <c r="E2" s="9"/>
    </row>
    <row r="3" spans="1:5" ht="14.25" thickBot="1">
      <c r="A3" s="10" t="s">
        <v>118</v>
      </c>
      <c r="B3" s="10">
        <v>0.3125</v>
      </c>
      <c r="C3" s="10">
        <v>0.2</v>
      </c>
      <c r="D3" s="10">
        <f>B3/C3</f>
        <v>1.5625</v>
      </c>
      <c r="E3" s="10"/>
    </row>
    <row r="4" spans="1:5" ht="14.25" thickBot="1">
      <c r="A4" s="10" t="s">
        <v>119</v>
      </c>
      <c r="B4" s="10">
        <v>0.625</v>
      </c>
      <c r="C4" s="10">
        <v>0.5</v>
      </c>
      <c r="D4" s="10">
        <f>B4/C4</f>
        <v>1.25</v>
      </c>
      <c r="E4" s="10"/>
    </row>
    <row r="5" spans="1:5" ht="14.25" thickBot="1">
      <c r="A5" s="10" t="s">
        <v>120</v>
      </c>
      <c r="B5" s="10">
        <v>1.25</v>
      </c>
      <c r="C5" s="10">
        <v>0.8</v>
      </c>
      <c r="D5" s="10">
        <f t="shared" ref="D5:D12" si="0">B5/C5</f>
        <v>1.5625</v>
      </c>
      <c r="E5" s="10"/>
    </row>
    <row r="6" spans="1:5" ht="14.25" thickBot="1">
      <c r="A6" s="10" t="s">
        <v>121</v>
      </c>
      <c r="B6" s="10">
        <v>2.5</v>
      </c>
      <c r="C6" s="10">
        <v>1.1000000000000001</v>
      </c>
      <c r="D6" s="10">
        <f t="shared" si="0"/>
        <v>2.2727272727272725</v>
      </c>
      <c r="E6" s="10"/>
    </row>
    <row r="7" spans="1:5" ht="14.25" thickBot="1">
      <c r="A7" s="10" t="s">
        <v>122</v>
      </c>
      <c r="B7" s="10">
        <v>5</v>
      </c>
      <c r="C7" s="10">
        <v>1.4</v>
      </c>
      <c r="D7" s="10">
        <f t="shared" si="0"/>
        <v>3.5714285714285716</v>
      </c>
      <c r="E7" s="10"/>
    </row>
    <row r="8" spans="1:5" ht="14.25" thickBot="1">
      <c r="A8" s="10" t="s">
        <v>123</v>
      </c>
      <c r="B8" s="10">
        <v>10</v>
      </c>
      <c r="C8" s="10">
        <v>1.7</v>
      </c>
      <c r="D8" s="10">
        <f t="shared" si="0"/>
        <v>5.882352941176471</v>
      </c>
      <c r="E8" s="10"/>
    </row>
    <row r="9" spans="1:5" ht="14.25" thickBot="1">
      <c r="A9" s="10" t="s">
        <v>124</v>
      </c>
      <c r="B9" s="10">
        <v>20</v>
      </c>
      <c r="C9" s="10">
        <v>2</v>
      </c>
      <c r="D9" s="10">
        <f t="shared" si="0"/>
        <v>10</v>
      </c>
      <c r="E9" s="10"/>
    </row>
    <row r="10" spans="1:5" ht="14.25" thickBot="1">
      <c r="A10" s="10" t="s">
        <v>125</v>
      </c>
      <c r="B10" s="10">
        <v>40</v>
      </c>
      <c r="C10" s="10">
        <v>3</v>
      </c>
      <c r="D10" s="10">
        <f t="shared" si="0"/>
        <v>13.333333333333334</v>
      </c>
      <c r="E10" s="10"/>
    </row>
    <row r="11" spans="1:5" ht="14.25" thickBot="1">
      <c r="A11" s="10" t="s">
        <v>14</v>
      </c>
      <c r="B11" s="10">
        <v>80</v>
      </c>
      <c r="C11" s="10">
        <v>4</v>
      </c>
      <c r="D11" s="10">
        <f t="shared" si="0"/>
        <v>20</v>
      </c>
      <c r="E11" s="10"/>
    </row>
    <row r="12" spans="1:5" ht="27.75" thickBot="1">
      <c r="A12" s="10" t="s">
        <v>126</v>
      </c>
      <c r="B12" s="10">
        <v>160</v>
      </c>
      <c r="C12" s="10">
        <v>5</v>
      </c>
      <c r="D12" s="10">
        <f t="shared" si="0"/>
        <v>32</v>
      </c>
      <c r="E12" s="10" t="s">
        <v>127</v>
      </c>
    </row>
    <row r="13" spans="1:5" ht="56.25" customHeight="1" thickBot="1">
      <c r="A13" s="11" t="s">
        <v>128</v>
      </c>
      <c r="B13" s="11">
        <v>320</v>
      </c>
      <c r="C13" s="10">
        <v>6</v>
      </c>
      <c r="D13" s="10">
        <f t="shared" ref="D13:D38" si="1">B13/C13</f>
        <v>53.333333333333336</v>
      </c>
      <c r="E13" s="11" t="s">
        <v>159</v>
      </c>
    </row>
    <row r="14" spans="1:5" ht="14.25" thickBot="1">
      <c r="A14" s="10" t="s">
        <v>129</v>
      </c>
      <c r="B14" s="10">
        <v>640</v>
      </c>
      <c r="C14" s="10">
        <v>7</v>
      </c>
      <c r="D14" s="10">
        <f t="shared" si="1"/>
        <v>91.428571428571431</v>
      </c>
      <c r="E14" s="12"/>
    </row>
    <row r="15" spans="1:5" ht="27.75" thickBot="1">
      <c r="A15" s="10" t="s">
        <v>130</v>
      </c>
      <c r="B15" s="10">
        <v>1280</v>
      </c>
      <c r="C15" s="10">
        <v>8</v>
      </c>
      <c r="D15" s="10">
        <f t="shared" si="1"/>
        <v>160</v>
      </c>
      <c r="E15" s="10" t="s">
        <v>160</v>
      </c>
    </row>
    <row r="16" spans="1:5" ht="14.25" thickBot="1">
      <c r="A16" s="10" t="s">
        <v>131</v>
      </c>
      <c r="B16" s="10">
        <v>2560</v>
      </c>
      <c r="C16" s="10">
        <v>9</v>
      </c>
      <c r="D16" s="10">
        <f t="shared" si="1"/>
        <v>284.44444444444446</v>
      </c>
      <c r="E16" s="10"/>
    </row>
    <row r="17" spans="1:5" ht="14.25" thickBot="1">
      <c r="A17" s="10" t="s">
        <v>132</v>
      </c>
      <c r="B17" s="10">
        <v>5120</v>
      </c>
      <c r="C17" s="10">
        <v>10</v>
      </c>
      <c r="D17" s="10">
        <f t="shared" si="1"/>
        <v>512</v>
      </c>
      <c r="E17" s="10"/>
    </row>
    <row r="18" spans="1:5" ht="27.75" thickBot="1">
      <c r="A18" s="10" t="s">
        <v>133</v>
      </c>
      <c r="B18" s="10">
        <v>10200</v>
      </c>
      <c r="C18" s="10">
        <v>11</v>
      </c>
      <c r="D18" s="10">
        <f t="shared" si="1"/>
        <v>927.27272727272725</v>
      </c>
      <c r="E18" s="10" t="s">
        <v>161</v>
      </c>
    </row>
    <row r="19" spans="1:5" ht="14.25" thickBot="1">
      <c r="A19" s="10" t="s">
        <v>34</v>
      </c>
      <c r="B19" s="10">
        <v>20500</v>
      </c>
      <c r="C19" s="10">
        <v>12</v>
      </c>
      <c r="D19" s="10">
        <f t="shared" si="1"/>
        <v>1708.3333333333333</v>
      </c>
      <c r="E19" s="10"/>
    </row>
    <row r="20" spans="1:5" ht="14.25" thickBot="1">
      <c r="A20" s="10" t="s">
        <v>134</v>
      </c>
      <c r="B20" s="10">
        <v>41000</v>
      </c>
      <c r="C20" s="10">
        <v>13</v>
      </c>
      <c r="D20" s="10">
        <f t="shared" si="1"/>
        <v>3153.8461538461538</v>
      </c>
      <c r="E20" s="10"/>
    </row>
    <row r="21" spans="1:5" ht="14.25" thickBot="1">
      <c r="A21" s="10" t="s">
        <v>135</v>
      </c>
      <c r="B21" s="10">
        <v>81900</v>
      </c>
      <c r="C21" s="10">
        <v>14</v>
      </c>
      <c r="D21" s="10">
        <f t="shared" si="1"/>
        <v>5850</v>
      </c>
      <c r="E21" s="13" t="s">
        <v>136</v>
      </c>
    </row>
    <row r="22" spans="1:5" ht="14.25" thickBot="1">
      <c r="A22" s="10" t="s">
        <v>137</v>
      </c>
      <c r="B22" s="10">
        <v>164000</v>
      </c>
      <c r="C22" s="10">
        <v>15</v>
      </c>
      <c r="D22" s="10">
        <f t="shared" si="1"/>
        <v>10933.333333333334</v>
      </c>
      <c r="E22" s="10"/>
    </row>
    <row r="23" spans="1:5" ht="14.25" thickBot="1">
      <c r="A23" s="10" t="s">
        <v>138</v>
      </c>
      <c r="B23" s="10">
        <v>328000</v>
      </c>
      <c r="C23" s="10">
        <v>16</v>
      </c>
      <c r="D23" s="10">
        <f t="shared" si="1"/>
        <v>20500</v>
      </c>
      <c r="E23" s="10"/>
    </row>
    <row r="24" spans="1:5" ht="68.25" thickBot="1">
      <c r="A24" s="10" t="s">
        <v>139</v>
      </c>
      <c r="B24" s="10">
        <v>655000</v>
      </c>
      <c r="C24" s="10">
        <v>17</v>
      </c>
      <c r="D24" s="10">
        <f t="shared" si="1"/>
        <v>38529.411764705881</v>
      </c>
      <c r="E24" s="13" t="s">
        <v>140</v>
      </c>
    </row>
    <row r="25" spans="1:5" ht="14.25" thickBot="1">
      <c r="A25" s="10" t="s">
        <v>141</v>
      </c>
      <c r="B25" s="10">
        <v>1310000</v>
      </c>
      <c r="C25" s="10">
        <v>18</v>
      </c>
      <c r="D25" s="10">
        <f t="shared" si="1"/>
        <v>72777.777777777781</v>
      </c>
      <c r="E25" s="10"/>
    </row>
    <row r="26" spans="1:5" ht="14.25" thickBot="1">
      <c r="A26" s="10" t="s">
        <v>142</v>
      </c>
      <c r="B26" s="10">
        <v>2620000</v>
      </c>
      <c r="C26" s="10">
        <v>19</v>
      </c>
      <c r="D26" s="10">
        <f t="shared" si="1"/>
        <v>137894.73684210525</v>
      </c>
      <c r="E26" s="14" t="s">
        <v>162</v>
      </c>
    </row>
    <row r="27" spans="1:5" ht="27.75" thickBot="1">
      <c r="A27" s="10" t="s">
        <v>143</v>
      </c>
      <c r="B27" s="10">
        <v>5240000</v>
      </c>
      <c r="C27" s="10">
        <v>20</v>
      </c>
      <c r="D27" s="10">
        <f t="shared" si="1"/>
        <v>262000</v>
      </c>
      <c r="E27" s="15" t="s">
        <v>163</v>
      </c>
    </row>
    <row r="28" spans="1:5" ht="14.25" thickBot="1">
      <c r="A28" s="10" t="s">
        <v>9</v>
      </c>
      <c r="B28" s="10">
        <v>10500000</v>
      </c>
      <c r="C28" s="10">
        <v>21</v>
      </c>
      <c r="D28" s="10">
        <f t="shared" si="1"/>
        <v>500000</v>
      </c>
      <c r="E28" s="10"/>
    </row>
    <row r="29" spans="1:5" ht="14.25" thickBot="1">
      <c r="A29" s="10" t="s">
        <v>144</v>
      </c>
      <c r="B29" s="10">
        <v>21000000</v>
      </c>
      <c r="C29" s="10">
        <v>22</v>
      </c>
      <c r="D29" s="10">
        <f t="shared" si="1"/>
        <v>954545.45454545459</v>
      </c>
      <c r="E29" s="10"/>
    </row>
    <row r="30" spans="1:5" ht="29.25" customHeight="1" thickBot="1">
      <c r="A30" s="11" t="s">
        <v>19</v>
      </c>
      <c r="B30" s="11">
        <v>41900000</v>
      </c>
      <c r="C30" s="10">
        <v>23</v>
      </c>
      <c r="D30" s="10">
        <f t="shared" si="1"/>
        <v>1821739.1304347827</v>
      </c>
      <c r="E30" s="16" t="s">
        <v>145</v>
      </c>
    </row>
    <row r="31" spans="1:5" ht="14.25" thickBot="1">
      <c r="A31" s="10" t="s">
        <v>146</v>
      </c>
      <c r="B31" s="10">
        <v>83900000</v>
      </c>
      <c r="C31" s="10">
        <v>24</v>
      </c>
      <c r="D31" s="10">
        <f t="shared" si="1"/>
        <v>3495833.3333333335</v>
      </c>
      <c r="E31" s="10"/>
    </row>
    <row r="32" spans="1:5" ht="14.25" thickBot="1">
      <c r="A32" s="10" t="s">
        <v>147</v>
      </c>
      <c r="B32" s="10">
        <v>168000000</v>
      </c>
      <c r="C32" s="10">
        <v>25</v>
      </c>
      <c r="D32" s="10">
        <f t="shared" si="1"/>
        <v>6720000</v>
      </c>
      <c r="E32" s="10"/>
    </row>
    <row r="33" spans="1:5" ht="14.25" thickBot="1">
      <c r="A33" s="10" t="s">
        <v>148</v>
      </c>
      <c r="B33" s="10">
        <v>336000000</v>
      </c>
      <c r="C33" s="10">
        <v>26</v>
      </c>
      <c r="D33" s="10">
        <f t="shared" si="1"/>
        <v>12923076.923076924</v>
      </c>
      <c r="E33" s="10"/>
    </row>
    <row r="34" spans="1:5" ht="14.25" thickBot="1">
      <c r="A34" s="10" t="s">
        <v>149</v>
      </c>
      <c r="B34" s="10">
        <v>671000000</v>
      </c>
      <c r="C34" s="10">
        <v>27</v>
      </c>
      <c r="D34" s="10">
        <f t="shared" si="1"/>
        <v>24851851.851851851</v>
      </c>
      <c r="E34" s="10"/>
    </row>
    <row r="35" spans="1:5" ht="14.25" thickBot="1">
      <c r="A35" s="10" t="s">
        <v>150</v>
      </c>
      <c r="B35" s="10">
        <v>1340000000</v>
      </c>
      <c r="C35" s="10">
        <v>28</v>
      </c>
      <c r="D35" s="10">
        <f t="shared" si="1"/>
        <v>47857142.857142858</v>
      </c>
      <c r="E35" s="13" t="s">
        <v>151</v>
      </c>
    </row>
    <row r="36" spans="1:5" ht="14.25" thickBot="1">
      <c r="A36" s="10" t="s">
        <v>152</v>
      </c>
      <c r="B36" s="10">
        <v>2680000000</v>
      </c>
      <c r="C36" s="10">
        <v>29</v>
      </c>
      <c r="D36" s="10">
        <f t="shared" si="1"/>
        <v>92413793.103448272</v>
      </c>
      <c r="E36" s="13" t="s">
        <v>153</v>
      </c>
    </row>
    <row r="37" spans="1:5" ht="14.25" thickBot="1">
      <c r="A37" s="10" t="s">
        <v>154</v>
      </c>
      <c r="B37" s="10">
        <v>5370000000</v>
      </c>
      <c r="C37" s="10">
        <v>30</v>
      </c>
      <c r="D37" s="10">
        <f t="shared" si="1"/>
        <v>179000000</v>
      </c>
      <c r="E37" s="13" t="s">
        <v>155</v>
      </c>
    </row>
    <row r="38" spans="1:5" ht="42.75" customHeight="1" thickBot="1">
      <c r="A38" s="11" t="s">
        <v>156</v>
      </c>
      <c r="B38" s="11">
        <v>10700000000</v>
      </c>
      <c r="C38" s="10">
        <v>31</v>
      </c>
      <c r="D38" s="10">
        <f t="shared" si="1"/>
        <v>345161290.32258064</v>
      </c>
      <c r="E38" s="16" t="s">
        <v>157</v>
      </c>
    </row>
  </sheetData>
  <phoneticPr fontId="1"/>
  <hyperlinks>
    <hyperlink ref="E21" r:id="rId1" tooltip="FAA" display="https://en.wikipedia.org/wiki/FAA"/>
    <hyperlink ref="E24" r:id="rId2" location="cite_note-CSXT-4" display="https://en.wikipedia.org/wiki/Model_rocket_motor_classification - cite_note-CSXT-4"/>
    <hyperlink ref="E30" r:id="rId3" tooltip="Delta II" display="https://en.wikipedia.org/wiki/Delta_II"/>
    <hyperlink ref="E35" r:id="rId4" tooltip="Space Shuttle Solid Rocket Booster" display="https://en.wikipedia.org/wiki/Space_Shuttle_Solid_Rocket_Booster"/>
    <hyperlink ref="E36" r:id="rId5" tooltip="Falcon 9" display="https://en.wikipedia.org/wiki/Falcon_9"/>
    <hyperlink ref="E37" r:id="rId6" tooltip="Delta IV Heavy" display="https://en.wikipedia.org/wiki/Delta_IV_Heavy"/>
    <hyperlink ref="E38" r:id="rId7" tooltip="Space Shuttle" display="https://en.wikipedia.org/wiki/Space_Shuttle"/>
  </hyperlinks>
  <pageMargins left="0.7" right="0.7" top="0.75" bottom="0.75" header="0.3" footer="0.3"/>
  <pageSetup paperSize="9" orientation="portrait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大気圧</vt:lpstr>
      <vt:lpstr>重力加速度</vt:lpstr>
      <vt:lpstr>基本スペック</vt:lpstr>
      <vt:lpstr>モデルロケットエンジン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itoht2</dc:creator>
  <cp:lastModifiedBy>itoht2</cp:lastModifiedBy>
  <dcterms:created xsi:type="dcterms:W3CDTF">2016-01-09T11:56:19Z</dcterms:created>
  <dcterms:modified xsi:type="dcterms:W3CDTF">2016-06-28T12:49:24Z</dcterms:modified>
</cp:coreProperties>
</file>