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MASS BALNC" sheetId="1" r:id="rId1"/>
    <sheet name="Sheet1" sheetId="6" r:id="rId2"/>
    <sheet name="Sheet2" sheetId="7" r:id="rId3"/>
  </sheets>
  <calcPr calcId="152511" concurrentCalc="0"/>
</workbook>
</file>

<file path=xl/calcChain.xml><?xml version="1.0" encoding="utf-8"?>
<calcChain xmlns="http://schemas.openxmlformats.org/spreadsheetml/2006/main">
  <c r="B4" i="6" l="1"/>
  <c r="D4" i="6"/>
  <c r="D9" i="6"/>
  <c r="F9" i="6"/>
  <c r="D10" i="6"/>
  <c r="F10" i="6"/>
  <c r="F11" i="6"/>
  <c r="B16" i="6"/>
  <c r="B21" i="6"/>
  <c r="E21" i="6"/>
  <c r="E16" i="6"/>
  <c r="F21" i="6"/>
  <c r="G16" i="6"/>
  <c r="G21" i="6"/>
  <c r="I21" i="6"/>
  <c r="B22" i="6"/>
  <c r="E22" i="6"/>
  <c r="F22" i="6"/>
  <c r="G22" i="6"/>
  <c r="I22" i="6"/>
  <c r="I23" i="6"/>
  <c r="B20" i="6"/>
  <c r="E20" i="6"/>
  <c r="F20" i="6"/>
  <c r="G20" i="6"/>
  <c r="I20" i="6"/>
  <c r="B19" i="6"/>
  <c r="E19" i="6"/>
  <c r="F19" i="6"/>
  <c r="G19" i="6"/>
  <c r="I19" i="6"/>
  <c r="B18" i="6"/>
  <c r="E18" i="6"/>
  <c r="F18" i="6"/>
  <c r="G18" i="6"/>
  <c r="I18" i="6"/>
  <c r="I16" i="6"/>
  <c r="D7" i="6"/>
  <c r="F7" i="6"/>
  <c r="D8" i="6"/>
  <c r="F8" i="6"/>
  <c r="D6" i="6"/>
  <c r="F6" i="6"/>
  <c r="F4" i="6"/>
  <c r="J469" i="1"/>
  <c r="J464" i="1"/>
  <c r="J465" i="1"/>
  <c r="J472" i="1"/>
  <c r="J474" i="1"/>
  <c r="F13" i="7"/>
  <c r="F74" i="7"/>
  <c r="F73" i="7"/>
  <c r="F32" i="7"/>
  <c r="F33" i="7"/>
  <c r="F72" i="7"/>
  <c r="H4" i="7"/>
  <c r="F24" i="7"/>
  <c r="F25" i="7"/>
  <c r="F66" i="7"/>
  <c r="F10" i="7"/>
  <c r="F11" i="7"/>
  <c r="F67" i="7"/>
  <c r="F68" i="7"/>
  <c r="F69" i="7"/>
  <c r="E53" i="7"/>
  <c r="E55" i="7"/>
  <c r="E57" i="7"/>
  <c r="E58" i="7"/>
  <c r="E49" i="7"/>
  <c r="E59" i="7"/>
  <c r="F63" i="7"/>
  <c r="F28" i="7"/>
  <c r="F29" i="7"/>
  <c r="F62" i="7"/>
  <c r="E44" i="7"/>
  <c r="E45" i="7"/>
  <c r="E41" i="7"/>
  <c r="E42" i="7"/>
  <c r="E39" i="7"/>
  <c r="E46" i="7"/>
  <c r="H7" i="7"/>
  <c r="F19" i="7"/>
  <c r="F20" i="7"/>
  <c r="T14" i="7"/>
  <c r="T13" i="7"/>
  <c r="P12" i="7"/>
  <c r="R12" i="7"/>
  <c r="V12" i="7"/>
  <c r="S12" i="7"/>
  <c r="P11" i="7"/>
  <c r="R11" i="7"/>
  <c r="T11" i="7"/>
  <c r="V11" i="7"/>
  <c r="S11" i="7"/>
  <c r="T9" i="7"/>
  <c r="T10" i="7"/>
  <c r="O9" i="7"/>
  <c r="P9" i="7"/>
  <c r="R9" i="7"/>
  <c r="R10" i="7"/>
  <c r="V10" i="7"/>
  <c r="P10" i="7"/>
  <c r="S10" i="7"/>
  <c r="V9" i="7"/>
  <c r="S9" i="7"/>
  <c r="P8" i="7"/>
  <c r="R8" i="7"/>
  <c r="T8" i="7"/>
  <c r="V8" i="7"/>
  <c r="S8" i="7"/>
  <c r="H8" i="7"/>
  <c r="P7" i="7"/>
  <c r="R7" i="7"/>
  <c r="V7" i="7"/>
  <c r="S7" i="7"/>
  <c r="H6" i="7"/>
  <c r="V5" i="7"/>
  <c r="T5" i="7"/>
  <c r="Q5" i="7"/>
  <c r="S5" i="7"/>
  <c r="H5" i="7"/>
  <c r="H3" i="7"/>
  <c r="N23" i="6"/>
  <c r="K18" i="6"/>
  <c r="J16" i="6"/>
  <c r="L16" i="6"/>
  <c r="K22" i="6"/>
  <c r="K21" i="6"/>
  <c r="K23" i="6"/>
  <c r="D23" i="6"/>
  <c r="B23" i="6"/>
  <c r="E23" i="6"/>
  <c r="F23" i="6"/>
  <c r="G23" i="6"/>
  <c r="H23" i="6"/>
  <c r="L23" i="6"/>
  <c r="M23" i="6"/>
  <c r="T16" i="6"/>
  <c r="T17" i="6"/>
  <c r="T20" i="6"/>
  <c r="T18" i="6"/>
  <c r="T19" i="6"/>
  <c r="T21" i="6"/>
  <c r="T22" i="6"/>
  <c r="H22" i="6"/>
  <c r="L22" i="6"/>
  <c r="M22" i="6"/>
  <c r="H21" i="6"/>
  <c r="L21" i="6"/>
  <c r="M21" i="6"/>
  <c r="K20" i="6"/>
  <c r="H20" i="6"/>
  <c r="L20" i="6"/>
  <c r="M20" i="6"/>
  <c r="K19" i="6"/>
  <c r="H19" i="6"/>
  <c r="L19" i="6"/>
  <c r="M19" i="6"/>
  <c r="P18" i="6"/>
  <c r="H18" i="6"/>
  <c r="L18" i="6"/>
  <c r="M18" i="6"/>
  <c r="H9" i="6"/>
  <c r="B9" i="6"/>
  <c r="E9" i="6"/>
  <c r="I9" i="6"/>
  <c r="H6" i="6"/>
  <c r="G4" i="6"/>
  <c r="I4" i="6"/>
  <c r="J9" i="6"/>
  <c r="H10" i="6"/>
  <c r="E10" i="6"/>
  <c r="I10" i="6"/>
  <c r="J10" i="6"/>
  <c r="J11" i="6"/>
  <c r="I11" i="6"/>
  <c r="H11" i="6"/>
  <c r="E11" i="6"/>
  <c r="D11" i="6"/>
  <c r="C11" i="6"/>
  <c r="B11" i="6"/>
  <c r="H8" i="6"/>
  <c r="B8" i="6"/>
  <c r="E8" i="6"/>
  <c r="I8" i="6"/>
  <c r="J8" i="6"/>
  <c r="H7" i="6"/>
  <c r="B7" i="6"/>
  <c r="E7" i="6"/>
  <c r="I7" i="6"/>
  <c r="J7" i="6"/>
  <c r="B6" i="6"/>
  <c r="E6" i="6"/>
  <c r="I6" i="6"/>
  <c r="J6" i="6"/>
  <c r="J495" i="1"/>
  <c r="J498" i="1"/>
  <c r="J500" i="1"/>
  <c r="L163" i="1"/>
  <c r="J189" i="1"/>
  <c r="J200" i="1"/>
  <c r="J201" i="1"/>
  <c r="J204" i="1"/>
  <c r="J210" i="1"/>
  <c r="J231" i="1"/>
  <c r="J266" i="1"/>
  <c r="J294" i="1"/>
  <c r="L15" i="1"/>
  <c r="J41" i="1"/>
  <c r="J97" i="1"/>
  <c r="J125" i="1"/>
  <c r="J318" i="1"/>
  <c r="J365" i="1"/>
  <c r="J408" i="1"/>
  <c r="J435" i="1"/>
  <c r="J453" i="1"/>
  <c r="J148" i="1"/>
  <c r="J525" i="1"/>
  <c r="J504" i="1"/>
  <c r="J507" i="1"/>
  <c r="J509" i="1"/>
  <c r="J213" i="1"/>
  <c r="J223" i="1"/>
  <c r="J233" i="1"/>
  <c r="J269" i="1"/>
  <c r="L160" i="1"/>
  <c r="J174" i="1"/>
  <c r="J248" i="1"/>
  <c r="J255" i="1"/>
  <c r="J282" i="1"/>
  <c r="J285" i="1"/>
  <c r="J177" i="1"/>
  <c r="J251" i="1"/>
  <c r="J252" i="1"/>
  <c r="J297" i="1"/>
  <c r="L12" i="1"/>
  <c r="J26" i="1"/>
  <c r="J79" i="1"/>
  <c r="J86" i="1"/>
  <c r="J113" i="1"/>
  <c r="J116" i="1"/>
  <c r="J54" i="1"/>
  <c r="J29" i="1"/>
  <c r="J82" i="1"/>
  <c r="J83" i="1"/>
  <c r="J100" i="1"/>
  <c r="J128" i="1"/>
  <c r="J320" i="1"/>
  <c r="J368" i="1"/>
  <c r="J438" i="1"/>
  <c r="J20" i="1"/>
  <c r="J46" i="1"/>
  <c r="J195" i="1"/>
  <c r="J275" i="1"/>
  <c r="J301" i="1"/>
  <c r="J106" i="1"/>
  <c r="J132" i="1"/>
  <c r="J325" i="1"/>
  <c r="J335" i="1"/>
  <c r="J308" i="1"/>
  <c r="J340" i="1"/>
  <c r="J351" i="1"/>
  <c r="J376" i="1"/>
  <c r="J380" i="1"/>
  <c r="J382" i="1"/>
  <c r="J396" i="1"/>
  <c r="J399" i="1"/>
  <c r="J312" i="1"/>
  <c r="J352" i="1"/>
  <c r="J377" i="1"/>
  <c r="J411" i="1"/>
  <c r="J455" i="1"/>
  <c r="J151" i="1"/>
  <c r="J527" i="1"/>
  <c r="J529" i="1"/>
  <c r="J486" i="1"/>
  <c r="J489" i="1"/>
  <c r="J491" i="1"/>
  <c r="L162" i="1"/>
  <c r="J185" i="1"/>
  <c r="J236" i="1"/>
  <c r="J237" i="1"/>
  <c r="J240" i="1"/>
  <c r="J263" i="1"/>
  <c r="J291" i="1"/>
  <c r="L14" i="1"/>
  <c r="J37" i="1"/>
  <c r="J94" i="1"/>
  <c r="J122" i="1"/>
  <c r="J316" i="1"/>
  <c r="J362" i="1"/>
  <c r="J432" i="1"/>
  <c r="J405" i="1"/>
  <c r="J451" i="1"/>
  <c r="J145" i="1"/>
  <c r="J523" i="1"/>
  <c r="J477" i="1"/>
  <c r="J480" i="1"/>
  <c r="J482" i="1"/>
  <c r="J219" i="1"/>
  <c r="J221" i="1"/>
  <c r="J225" i="1"/>
  <c r="J216" i="1"/>
  <c r="J228" i="1"/>
  <c r="L161" i="1"/>
  <c r="J181" i="1"/>
  <c r="J260" i="1"/>
  <c r="J288" i="1"/>
  <c r="L13" i="1"/>
  <c r="J33" i="1"/>
  <c r="J62" i="1"/>
  <c r="J57" i="1"/>
  <c r="J59" i="1"/>
  <c r="J60" i="1"/>
  <c r="J65" i="1"/>
  <c r="J91" i="1"/>
  <c r="J119" i="1"/>
  <c r="J314" i="1"/>
  <c r="J359" i="1"/>
  <c r="J360" i="1"/>
  <c r="J385" i="1"/>
  <c r="J429" i="1"/>
  <c r="J402" i="1"/>
  <c r="J449" i="1"/>
  <c r="J142" i="1"/>
  <c r="J521" i="1"/>
  <c r="J384" i="1"/>
  <c r="J426" i="1"/>
  <c r="J447" i="1"/>
  <c r="J88" i="1"/>
  <c r="J139" i="1"/>
  <c r="J519" i="1"/>
  <c r="J445" i="1"/>
  <c r="J136" i="1"/>
  <c r="J517" i="1"/>
  <c r="J512" i="1"/>
  <c r="J458" i="1"/>
  <c r="J440" i="1"/>
  <c r="J423" i="1"/>
  <c r="J421" i="1"/>
  <c r="J420" i="1"/>
  <c r="J341" i="1"/>
  <c r="J328" i="1"/>
  <c r="J342" i="1"/>
  <c r="J346" i="1"/>
  <c r="J348" i="1"/>
  <c r="J390" i="1"/>
  <c r="J415" i="1"/>
  <c r="J414" i="1"/>
  <c r="J387" i="1"/>
  <c r="J388" i="1"/>
  <c r="J389" i="1"/>
  <c r="J386" i="1"/>
  <c r="J371" i="1"/>
  <c r="J370" i="1"/>
  <c r="J355" i="1"/>
  <c r="J356" i="1"/>
  <c r="J326" i="1"/>
  <c r="J322" i="1"/>
  <c r="J300" i="1"/>
  <c r="J272" i="1"/>
  <c r="J257" i="1"/>
  <c r="K210" i="1"/>
  <c r="J194" i="1"/>
  <c r="J168" i="1"/>
  <c r="L165" i="1"/>
  <c r="L164" i="1"/>
  <c r="J154" i="1"/>
  <c r="J131" i="1"/>
  <c r="J103" i="1"/>
  <c r="J69" i="1"/>
  <c r="J71" i="1"/>
  <c r="J45" i="1"/>
  <c r="L18" i="1"/>
  <c r="L16" i="1"/>
  <c r="L17" i="1"/>
  <c r="J17" i="1"/>
</calcChain>
</file>

<file path=xl/sharedStrings.xml><?xml version="1.0" encoding="utf-8"?>
<sst xmlns="http://schemas.openxmlformats.org/spreadsheetml/2006/main" count="1444" uniqueCount="480">
  <si>
    <t>Mass (kg/d)</t>
  </si>
  <si>
    <t>Con (mg/L)</t>
  </si>
  <si>
    <t>TSS</t>
  </si>
  <si>
    <t>Org-N</t>
  </si>
  <si>
    <t>TP</t>
  </si>
  <si>
    <t>TKN</t>
  </si>
  <si>
    <t>Removal %</t>
  </si>
  <si>
    <t>=</t>
  </si>
  <si>
    <t>S</t>
  </si>
  <si>
    <t>Sludge flow</t>
  </si>
  <si>
    <t>kg/day</t>
  </si>
  <si>
    <t>TP in SBR sludge</t>
  </si>
  <si>
    <t>kg/d</t>
  </si>
  <si>
    <t>Inlet TSS</t>
  </si>
  <si>
    <t>Inlet BOD</t>
  </si>
  <si>
    <t>Inlet TP</t>
  </si>
  <si>
    <t>TN</t>
  </si>
  <si>
    <t>Soluble BOD in the sludge</t>
  </si>
  <si>
    <t>mg/L</t>
  </si>
  <si>
    <t>Flow</t>
  </si>
  <si>
    <t>MLD</t>
  </si>
  <si>
    <t>0.122 kg org-N/kg TVSS x 0.8 kg TVSS/kg TSS</t>
  </si>
  <si>
    <t>Inlet TKN</t>
  </si>
  <si>
    <t>TP in sludge</t>
  </si>
  <si>
    <t>Assume 35 % BOD removal</t>
  </si>
  <si>
    <t>BOD in sludge</t>
  </si>
  <si>
    <t>Assume 60 % TSS removal</t>
  </si>
  <si>
    <t>TSS in sludge</t>
  </si>
  <si>
    <t>Primary clarifier Effluent</t>
  </si>
  <si>
    <t>Parameters</t>
  </si>
  <si>
    <t>Combined inlet to Plant</t>
  </si>
  <si>
    <t>Assume 10% TP removal</t>
  </si>
  <si>
    <t xml:space="preserve">Recycled Filtrate </t>
  </si>
  <si>
    <t xml:space="preserve">TP </t>
  </si>
  <si>
    <t>Bypass flow</t>
  </si>
  <si>
    <t>Primary clarifier inlet</t>
  </si>
  <si>
    <t>SBR inlet</t>
  </si>
  <si>
    <t>3.7 mg/L*Sludge flow</t>
  </si>
  <si>
    <t>NITROGEN IN BIOLOGICAL SLUDGE</t>
  </si>
  <si>
    <t>(10-6.28)</t>
  </si>
  <si>
    <t>Org-N in TSS (Soluble org-N is neglected, since small quantity)</t>
  </si>
  <si>
    <t>Solids capture rate * inlet TP</t>
  </si>
  <si>
    <t>Solids capture rate * inlet TSS</t>
  </si>
  <si>
    <t>Solids capture rate* inlet Org-N</t>
  </si>
  <si>
    <t>SLUDGE FROM EXISTING 60 MLD STP</t>
  </si>
  <si>
    <t>Org-N in sludge</t>
  </si>
  <si>
    <r>
      <t>BOD</t>
    </r>
    <r>
      <rPr>
        <vertAlign val="subscript"/>
        <sz val="12"/>
        <color theme="1"/>
        <rFont val="Times New Roman"/>
        <family val="1"/>
      </rPr>
      <t>5</t>
    </r>
    <r>
      <rPr>
        <sz val="12"/>
        <color theme="1"/>
        <rFont val="Times New Roman"/>
        <family val="1"/>
      </rPr>
      <t xml:space="preserve"> removed in Primary clarifier</t>
    </r>
  </si>
  <si>
    <t>%</t>
  </si>
  <si>
    <r>
      <t>Required BOD</t>
    </r>
    <r>
      <rPr>
        <vertAlign val="subscript"/>
        <sz val="12"/>
        <color theme="1"/>
        <rFont val="Times New Roman"/>
        <family val="1"/>
      </rPr>
      <t>5</t>
    </r>
    <r>
      <rPr>
        <sz val="12"/>
        <color theme="1"/>
        <rFont val="Times New Roman"/>
        <family val="1"/>
      </rPr>
      <t xml:space="preserve"> at the outlet </t>
    </r>
  </si>
  <si>
    <r>
      <t>BOD</t>
    </r>
    <r>
      <rPr>
        <vertAlign val="subscript"/>
        <sz val="12"/>
        <color theme="1"/>
        <rFont val="Times New Roman"/>
        <family val="1"/>
      </rPr>
      <t>5</t>
    </r>
    <r>
      <rPr>
        <sz val="12"/>
        <color theme="1"/>
        <rFont val="Times New Roman"/>
        <family val="1"/>
      </rPr>
      <t xml:space="preserve"> influent to Aeration tank</t>
    </r>
  </si>
  <si>
    <t>Sludge production (TSS)</t>
  </si>
  <si>
    <r>
      <t>Soluble BOD</t>
    </r>
    <r>
      <rPr>
        <vertAlign val="subscript"/>
        <sz val="12"/>
        <color theme="1"/>
        <rFont val="Times New Roman"/>
        <family val="1"/>
      </rPr>
      <t>5</t>
    </r>
    <r>
      <rPr>
        <sz val="12"/>
        <color theme="1"/>
        <rFont val="Times New Roman"/>
        <family val="1"/>
      </rPr>
      <t xml:space="preserve"> in the effluent (S)</t>
    </r>
  </si>
  <si>
    <r>
      <t>BOD</t>
    </r>
    <r>
      <rPr>
        <vertAlign val="subscript"/>
        <sz val="12"/>
        <color theme="1"/>
        <rFont val="Times New Roman"/>
        <family val="1"/>
      </rPr>
      <t>5</t>
    </r>
    <r>
      <rPr>
        <sz val="12"/>
        <color theme="1"/>
        <rFont val="Times New Roman"/>
        <family val="1"/>
      </rPr>
      <t xml:space="preserve"> exerted by TSS in effluent</t>
    </r>
  </si>
  <si>
    <r>
      <t>(Required outlet TSS) x (0.65 biodegradable solids/kg TSS) x (1.42 kg BOD</t>
    </r>
    <r>
      <rPr>
        <vertAlign val="subscript"/>
        <sz val="12"/>
        <color theme="1"/>
        <rFont val="Times New Roman"/>
        <family val="1"/>
      </rPr>
      <t>L</t>
    </r>
    <r>
      <rPr>
        <sz val="12"/>
        <color theme="1"/>
        <rFont val="Times New Roman"/>
        <family val="1"/>
      </rPr>
      <t>/ kg biodegradable solids) x (0.68 kg BOD</t>
    </r>
    <r>
      <rPr>
        <vertAlign val="subscript"/>
        <sz val="12"/>
        <color theme="1"/>
        <rFont val="Times New Roman"/>
        <family val="1"/>
      </rPr>
      <t>5</t>
    </r>
    <r>
      <rPr>
        <sz val="12"/>
        <color theme="1"/>
        <rFont val="Times New Roman"/>
        <family val="1"/>
      </rPr>
      <t xml:space="preserve"> / kg BOD</t>
    </r>
    <r>
      <rPr>
        <vertAlign val="subscript"/>
        <sz val="12"/>
        <color theme="1"/>
        <rFont val="Times New Roman"/>
        <family val="1"/>
      </rPr>
      <t>L</t>
    </r>
    <r>
      <rPr>
        <sz val="12"/>
        <color theme="1"/>
        <rFont val="Times New Roman"/>
        <family val="1"/>
      </rPr>
      <t>)</t>
    </r>
  </si>
  <si>
    <r>
      <t>m</t>
    </r>
    <r>
      <rPr>
        <vertAlign val="superscript"/>
        <sz val="12"/>
        <color theme="1"/>
        <rFont val="Times New Roman"/>
        <family val="1"/>
      </rPr>
      <t>3</t>
    </r>
    <r>
      <rPr>
        <sz val="12"/>
        <color theme="1"/>
        <rFont val="Times New Roman"/>
        <family val="1"/>
      </rPr>
      <t>/d</t>
    </r>
  </si>
  <si>
    <r>
      <t>Total BOD</t>
    </r>
    <r>
      <rPr>
        <vertAlign val="subscript"/>
        <sz val="12"/>
        <color theme="1"/>
        <rFont val="Times New Roman"/>
        <family val="1"/>
      </rPr>
      <t>5</t>
    </r>
    <r>
      <rPr>
        <sz val="12"/>
        <color theme="1"/>
        <rFont val="Times New Roman"/>
        <family val="1"/>
      </rPr>
      <t xml:space="preserve"> in the Effluent - BOD</t>
    </r>
    <r>
      <rPr>
        <vertAlign val="subscript"/>
        <sz val="12"/>
        <color theme="1"/>
        <rFont val="Times New Roman"/>
        <family val="1"/>
      </rPr>
      <t>5</t>
    </r>
    <r>
      <rPr>
        <sz val="12"/>
        <color theme="1"/>
        <rFont val="Times New Roman"/>
        <family val="1"/>
      </rPr>
      <t xml:space="preserve"> exerted by TSS in the effluent</t>
    </r>
  </si>
  <si>
    <r>
      <t>(10 mg/L TSS) x (0.65 biodegradable solids/kg TSS) x (1.42 kg BOD</t>
    </r>
    <r>
      <rPr>
        <vertAlign val="subscript"/>
        <sz val="12"/>
        <color theme="1"/>
        <rFont val="Times New Roman"/>
        <family val="1"/>
      </rPr>
      <t>L</t>
    </r>
    <r>
      <rPr>
        <sz val="12"/>
        <color theme="1"/>
        <rFont val="Times New Roman"/>
        <family val="1"/>
      </rPr>
      <t>/ kg biodegradable solids) x (0.68 kg BOD</t>
    </r>
    <r>
      <rPr>
        <vertAlign val="subscript"/>
        <sz val="12"/>
        <color theme="1"/>
        <rFont val="Times New Roman"/>
        <family val="1"/>
      </rPr>
      <t>5</t>
    </r>
    <r>
      <rPr>
        <sz val="12"/>
        <color theme="1"/>
        <rFont val="Times New Roman"/>
        <family val="1"/>
      </rPr>
      <t xml:space="preserve"> / kg BOD</t>
    </r>
    <r>
      <rPr>
        <vertAlign val="subscript"/>
        <sz val="12"/>
        <color theme="1"/>
        <rFont val="Times New Roman"/>
        <family val="1"/>
      </rPr>
      <t>L</t>
    </r>
    <r>
      <rPr>
        <sz val="12"/>
        <color theme="1"/>
        <rFont val="Times New Roman"/>
        <family val="1"/>
      </rPr>
      <t>)</t>
    </r>
  </si>
  <si>
    <r>
      <t>Soluble BOD</t>
    </r>
    <r>
      <rPr>
        <vertAlign val="subscript"/>
        <sz val="12"/>
        <color theme="1"/>
        <rFont val="Times New Roman"/>
        <family val="1"/>
      </rPr>
      <t>5</t>
    </r>
  </si>
  <si>
    <r>
      <t>BOD</t>
    </r>
    <r>
      <rPr>
        <vertAlign val="subscript"/>
        <sz val="12"/>
        <color theme="1"/>
        <rFont val="Times New Roman"/>
        <family val="1"/>
      </rPr>
      <t>5</t>
    </r>
    <r>
      <rPr>
        <sz val="12"/>
        <color theme="1"/>
        <rFont val="Times New Roman"/>
        <family val="1"/>
      </rPr>
      <t xml:space="preserve"> in sludge</t>
    </r>
  </si>
  <si>
    <r>
      <t>BOD</t>
    </r>
    <r>
      <rPr>
        <vertAlign val="subscript"/>
        <sz val="12"/>
        <color theme="1"/>
        <rFont val="Times New Roman"/>
        <family val="1"/>
      </rPr>
      <t>5</t>
    </r>
    <r>
      <rPr>
        <sz val="12"/>
        <color theme="1"/>
        <rFont val="Times New Roman"/>
        <family val="1"/>
      </rPr>
      <t xml:space="preserve"> Stabilisation</t>
    </r>
  </si>
  <si>
    <r>
      <t>TSS remaining in digested sludge (W</t>
    </r>
    <r>
      <rPr>
        <vertAlign val="subscript"/>
        <sz val="12"/>
        <color theme="1"/>
        <rFont val="Times New Roman"/>
        <family val="1"/>
      </rPr>
      <t>remaining</t>
    </r>
    <r>
      <rPr>
        <sz val="12"/>
        <color theme="1"/>
        <rFont val="Times New Roman"/>
        <family val="1"/>
      </rPr>
      <t>)</t>
    </r>
  </si>
  <si>
    <r>
      <t>V</t>
    </r>
    <r>
      <rPr>
        <vertAlign val="subscript"/>
        <sz val="12"/>
        <color theme="1"/>
        <rFont val="Times New Roman"/>
        <family val="1"/>
      </rPr>
      <t>sludge</t>
    </r>
  </si>
  <si>
    <t>TP in secondary sludge</t>
  </si>
  <si>
    <t>Conversion of Org-N to soluble Org-N</t>
  </si>
  <si>
    <r>
      <t>BOD</t>
    </r>
    <r>
      <rPr>
        <vertAlign val="subscript"/>
        <sz val="12"/>
        <color theme="1"/>
        <rFont val="Times New Roman"/>
        <family val="1"/>
      </rPr>
      <t>5</t>
    </r>
  </si>
  <si>
    <r>
      <t>BOD</t>
    </r>
    <r>
      <rPr>
        <vertAlign val="subscript"/>
        <sz val="12"/>
        <color theme="1"/>
        <rFont val="Times New Roman"/>
        <family val="1"/>
      </rPr>
      <t>5</t>
    </r>
    <r>
      <rPr>
        <sz val="12"/>
        <color theme="1"/>
        <rFont val="Times New Roman"/>
        <family val="1"/>
      </rPr>
      <t xml:space="preserve"> in digested sludge </t>
    </r>
  </si>
  <si>
    <r>
      <t>Unstabilised BOD</t>
    </r>
    <r>
      <rPr>
        <vertAlign val="subscript"/>
        <sz val="12"/>
        <color theme="1"/>
        <rFont val="Times New Roman"/>
        <family val="1"/>
      </rPr>
      <t>5</t>
    </r>
  </si>
  <si>
    <t xml:space="preserve">MECHANICAL SCREW THICKENER </t>
  </si>
  <si>
    <t xml:space="preserve">ITERATION : 1   </t>
  </si>
  <si>
    <t>Assumptions:</t>
  </si>
  <si>
    <t>(a) 82 MLD flow to PST followed by SBR</t>
  </si>
  <si>
    <t>ANAEROBIC DIGESTER</t>
  </si>
  <si>
    <t>WITHOUT RECYCLE FLOW (18 MLD IS DIRECTLY TAKEN TO SBR INLET FROM OUTLET OF INLET UNITS)</t>
  </si>
  <si>
    <t xml:space="preserve">Total Filtrate composition </t>
  </si>
  <si>
    <t>Raw Sewage</t>
  </si>
  <si>
    <r>
      <t>Flow (m</t>
    </r>
    <r>
      <rPr>
        <b/>
        <vertAlign val="superscript"/>
        <sz val="11"/>
        <color theme="1"/>
        <rFont val="Calibri"/>
        <family val="2"/>
        <scheme val="minor"/>
      </rPr>
      <t>3</t>
    </r>
    <r>
      <rPr>
        <b/>
        <sz val="11"/>
        <color theme="1"/>
        <rFont val="Calibri"/>
        <family val="2"/>
        <scheme val="minor"/>
      </rPr>
      <t>/d)</t>
    </r>
  </si>
  <si>
    <r>
      <t>BOD</t>
    </r>
    <r>
      <rPr>
        <vertAlign val="subscript"/>
        <sz val="11"/>
        <color theme="1"/>
        <rFont val="Calibri"/>
        <family val="2"/>
        <scheme val="minor"/>
      </rPr>
      <t>5</t>
    </r>
  </si>
  <si>
    <r>
      <t>NH</t>
    </r>
    <r>
      <rPr>
        <vertAlign val="subscript"/>
        <sz val="11"/>
        <color theme="1"/>
        <rFont val="Calibri"/>
        <family val="2"/>
        <scheme val="minor"/>
      </rPr>
      <t>3</t>
    </r>
    <r>
      <rPr>
        <sz val="11"/>
        <color theme="1"/>
        <rFont val="Calibri"/>
        <family val="2"/>
        <scheme val="minor"/>
      </rPr>
      <t>-N</t>
    </r>
  </si>
  <si>
    <r>
      <t>Conversion of Org-N into NH</t>
    </r>
    <r>
      <rPr>
        <vertAlign val="subscript"/>
        <sz val="12"/>
        <color theme="1"/>
        <rFont val="Times New Roman"/>
        <family val="1"/>
      </rPr>
      <t>3</t>
    </r>
    <r>
      <rPr>
        <sz val="12"/>
        <color theme="1"/>
        <rFont val="Times New Roman"/>
        <family val="1"/>
      </rPr>
      <t>-N</t>
    </r>
  </si>
  <si>
    <t>10 mg/L - 6.3 mg/L</t>
  </si>
  <si>
    <t>Parameter</t>
  </si>
  <si>
    <t>Raw water</t>
  </si>
  <si>
    <t>Primary sludge</t>
  </si>
  <si>
    <t>Primary outlet</t>
  </si>
  <si>
    <t>BNR sludge</t>
  </si>
  <si>
    <t>Combined sludge</t>
  </si>
  <si>
    <t>Flow (MLD)</t>
  </si>
  <si>
    <t>Inlet ON</t>
  </si>
  <si>
    <t>Inlet NH4-N</t>
  </si>
  <si>
    <t>BOD</t>
  </si>
  <si>
    <t>ON</t>
  </si>
  <si>
    <t>Sludge from primary</t>
  </si>
  <si>
    <t>m3/d</t>
  </si>
  <si>
    <t>Sludge from Secondary</t>
  </si>
  <si>
    <t>NH4-N</t>
  </si>
  <si>
    <t>Nitrate N</t>
  </si>
  <si>
    <t>NH4-N removal is assumed to be zero</t>
  </si>
  <si>
    <t>Assume 35 %ON removal</t>
  </si>
  <si>
    <t>ON in sludge</t>
  </si>
  <si>
    <t>Assume 10%TP removal</t>
  </si>
  <si>
    <t>Secondary sludge</t>
  </si>
  <si>
    <t>Org-N in TSS</t>
  </si>
  <si>
    <t>(Soluble org-N is neglected, since small quantity)</t>
  </si>
  <si>
    <r>
      <t>NH</t>
    </r>
    <r>
      <rPr>
        <vertAlign val="subscript"/>
        <sz val="11"/>
        <color theme="1"/>
        <rFont val="Calibri"/>
        <family val="2"/>
        <scheme val="minor"/>
      </rPr>
      <t>4</t>
    </r>
    <r>
      <rPr>
        <sz val="11"/>
        <color theme="1"/>
        <rFont val="Calibri"/>
        <family val="2"/>
        <scheme val="minor"/>
      </rPr>
      <t>-N</t>
    </r>
  </si>
  <si>
    <r>
      <t>1 g /m</t>
    </r>
    <r>
      <rPr>
        <vertAlign val="superscript"/>
        <sz val="11"/>
        <color theme="1"/>
        <rFont val="Calibri"/>
        <family val="2"/>
        <scheme val="minor"/>
      </rPr>
      <t xml:space="preserve">3 </t>
    </r>
    <r>
      <rPr>
        <sz val="11"/>
        <color theme="1"/>
        <rFont val="Calibri"/>
        <family val="2"/>
        <scheme val="minor"/>
      </rPr>
      <t>of sludge</t>
    </r>
  </si>
  <si>
    <t>g/d</t>
  </si>
  <si>
    <t>NEGLIGIBLE</t>
  </si>
  <si>
    <t>Nitrate -N</t>
  </si>
  <si>
    <t>8 g/ m3 of sludge</t>
  </si>
  <si>
    <t>BOD in the TSS from ASP</t>
  </si>
  <si>
    <t>0.65x1.42x0.68xTSS</t>
  </si>
  <si>
    <t>Soluble BOD5 in the effluent (S)</t>
  </si>
  <si>
    <t>Total BOD5 in the Effluent - BOD5 exerted by TSS in the effluent</t>
  </si>
  <si>
    <t>BOD5 exerted by TSS in effluent</t>
  </si>
  <si>
    <r>
      <t>(10 mg/L TSS) x (0.65 biodegradable solids/kg TSS) x (1.42 kg BOD</t>
    </r>
    <r>
      <rPr>
        <vertAlign val="subscript"/>
        <sz val="11"/>
        <color theme="1"/>
        <rFont val="Calibri"/>
        <family val="2"/>
        <scheme val="minor"/>
      </rPr>
      <t>L</t>
    </r>
    <r>
      <rPr>
        <sz val="11"/>
        <color theme="1"/>
        <rFont val="Calibri"/>
        <family val="2"/>
        <scheme val="minor"/>
      </rPr>
      <t>/ kg biodegradable solids) x (0.68 kg BOD5 / kg BOD</t>
    </r>
    <r>
      <rPr>
        <vertAlign val="subscript"/>
        <sz val="11"/>
        <color theme="1"/>
        <rFont val="Calibri"/>
        <family val="2"/>
        <scheme val="minor"/>
      </rPr>
      <t>L</t>
    </r>
    <r>
      <rPr>
        <sz val="11"/>
        <color theme="1"/>
        <rFont val="Calibri"/>
        <family val="2"/>
        <scheme val="minor"/>
      </rPr>
      <t>)</t>
    </r>
  </si>
  <si>
    <t>10 mg/L-6.3 mg/L</t>
  </si>
  <si>
    <t>Total BOD in ASP sludge</t>
  </si>
  <si>
    <t>BOD5 in Sludge (including soluble BOD)</t>
  </si>
  <si>
    <t>Inlet BOD5</t>
  </si>
  <si>
    <t>BOD5 in sludge</t>
  </si>
  <si>
    <t>SBR inlet TP</t>
  </si>
  <si>
    <t>Treated outlet flow</t>
  </si>
  <si>
    <t>TP in the outlet</t>
  </si>
  <si>
    <t>Organic fraction in primary sludge (TVSS/TSS)</t>
  </si>
  <si>
    <t>Organic fraction in inlet sludge (TVSS/TSS)</t>
  </si>
  <si>
    <t>((Organic fraction of solids in the inlet solids)/Total inlet solids</t>
  </si>
  <si>
    <t>Inlet organic Fraction</t>
  </si>
  <si>
    <t>(Organic fraction of solids in thickened sludge from proposed STP + organic fraction of solids in thickened sludge from existing STP)/Total solids in the thickened sludge)</t>
  </si>
  <si>
    <t xml:space="preserve">TVSS remaining in the digested sludge </t>
  </si>
  <si>
    <t>% of inlet TVSS</t>
  </si>
  <si>
    <t>% of TSS</t>
  </si>
  <si>
    <t>Organic fraction in digested sludge (TVSS/TSS)</t>
  </si>
  <si>
    <r>
      <t>By substituting the value of W</t>
    </r>
    <r>
      <rPr>
        <vertAlign val="subscript"/>
        <sz val="12"/>
        <color theme="1"/>
        <rFont val="Times New Roman"/>
        <family val="1"/>
      </rPr>
      <t>sludge</t>
    </r>
    <r>
      <rPr>
        <sz val="12"/>
        <color theme="1"/>
        <rFont val="Times New Roman"/>
        <family val="1"/>
      </rPr>
      <t xml:space="preserve"> and V</t>
    </r>
    <r>
      <rPr>
        <vertAlign val="subscript"/>
        <sz val="12"/>
        <color theme="1"/>
        <rFont val="Times New Roman"/>
        <family val="1"/>
      </rPr>
      <t>sludge</t>
    </r>
    <r>
      <rPr>
        <sz val="12"/>
        <color theme="1"/>
        <rFont val="Times New Roman"/>
        <family val="1"/>
      </rPr>
      <t xml:space="preserve"> in equation (a), we get</t>
    </r>
  </si>
  <si>
    <t>Consistency of digested sludge</t>
  </si>
  <si>
    <t xml:space="preserve">Inlet TP </t>
  </si>
  <si>
    <r>
      <t>Inlet Org-N x (1- 0.15 (converted into NH</t>
    </r>
    <r>
      <rPr>
        <vertAlign val="subscript"/>
        <sz val="12"/>
        <color theme="1"/>
        <rFont val="Times New Roman"/>
        <family val="1"/>
      </rPr>
      <t>3</t>
    </r>
    <r>
      <rPr>
        <sz val="12"/>
        <color theme="1"/>
        <rFont val="Times New Roman"/>
        <family val="1"/>
      </rPr>
      <t xml:space="preserve">-N)) </t>
    </r>
  </si>
  <si>
    <t xml:space="preserve">TP in the digested sludge </t>
  </si>
  <si>
    <t>Org-N in digested sludge</t>
  </si>
  <si>
    <t>TKN in digested sludge</t>
  </si>
  <si>
    <r>
      <t>NH</t>
    </r>
    <r>
      <rPr>
        <vertAlign val="subscript"/>
        <sz val="12"/>
        <color theme="1"/>
        <rFont val="Times New Roman"/>
        <family val="1"/>
      </rPr>
      <t>3</t>
    </r>
    <r>
      <rPr>
        <sz val="12"/>
        <color theme="1"/>
        <rFont val="Times New Roman"/>
        <family val="1"/>
      </rPr>
      <t>-N removal is assumed to be zero</t>
    </r>
  </si>
  <si>
    <r>
      <t>Total BOD</t>
    </r>
    <r>
      <rPr>
        <vertAlign val="subscript"/>
        <sz val="12"/>
        <color theme="1"/>
        <rFont val="Times New Roman"/>
        <family val="1"/>
      </rPr>
      <t>5</t>
    </r>
    <r>
      <rPr>
        <sz val="12"/>
        <color theme="1"/>
        <rFont val="Times New Roman"/>
        <family val="1"/>
      </rPr>
      <t xml:space="preserve"> in the sludge from SBR </t>
    </r>
  </si>
  <si>
    <r>
      <t>Kg of BOD</t>
    </r>
    <r>
      <rPr>
        <vertAlign val="subscript"/>
        <sz val="12"/>
        <color theme="1"/>
        <rFont val="Times New Roman"/>
        <family val="1"/>
      </rPr>
      <t>5</t>
    </r>
    <r>
      <rPr>
        <sz val="12"/>
        <color theme="1"/>
        <rFont val="Times New Roman"/>
        <family val="1"/>
      </rPr>
      <t xml:space="preserve"> removed in aeration tank</t>
    </r>
  </si>
  <si>
    <r>
      <t>Soluble BOD</t>
    </r>
    <r>
      <rPr>
        <vertAlign val="subscript"/>
        <sz val="12"/>
        <color theme="1"/>
        <rFont val="Times New Roman"/>
        <family val="1"/>
      </rPr>
      <t>5</t>
    </r>
    <r>
      <rPr>
        <sz val="12"/>
        <color theme="1"/>
        <rFont val="Times New Roman"/>
        <family val="1"/>
      </rPr>
      <t xml:space="preserve"> in the sludge</t>
    </r>
  </si>
  <si>
    <r>
      <t>Total BOD</t>
    </r>
    <r>
      <rPr>
        <vertAlign val="subscript"/>
        <sz val="12"/>
        <color theme="1"/>
        <rFont val="Times New Roman"/>
        <family val="1"/>
      </rPr>
      <t>5</t>
    </r>
    <r>
      <rPr>
        <sz val="12"/>
        <color theme="1"/>
        <rFont val="Times New Roman"/>
        <family val="1"/>
      </rPr>
      <t xml:space="preserve"> in Secondary sludge</t>
    </r>
  </si>
  <si>
    <r>
      <t>(NH</t>
    </r>
    <r>
      <rPr>
        <vertAlign val="subscript"/>
        <sz val="12"/>
        <color theme="1"/>
        <rFont val="Times New Roman"/>
        <family val="1"/>
      </rPr>
      <t>3</t>
    </r>
    <r>
      <rPr>
        <sz val="12"/>
        <color theme="1"/>
        <rFont val="Times New Roman"/>
        <family val="1"/>
      </rPr>
      <t>-N + Org-N) in filtrate</t>
    </r>
  </si>
  <si>
    <r>
      <t>NH</t>
    </r>
    <r>
      <rPr>
        <vertAlign val="subscript"/>
        <sz val="12"/>
        <color theme="1"/>
        <rFont val="Times New Roman"/>
        <family val="1"/>
      </rPr>
      <t>3</t>
    </r>
    <r>
      <rPr>
        <sz val="12"/>
        <color theme="1"/>
        <rFont val="Times New Roman"/>
        <family val="1"/>
      </rPr>
      <t>-N</t>
    </r>
  </si>
  <si>
    <r>
      <t>NH</t>
    </r>
    <r>
      <rPr>
        <vertAlign val="subscript"/>
        <sz val="12"/>
        <color theme="1"/>
        <rFont val="Times New Roman"/>
        <family val="1"/>
      </rPr>
      <t>3</t>
    </r>
    <r>
      <rPr>
        <sz val="12"/>
        <color theme="1"/>
        <rFont val="Times New Roman"/>
        <family val="1"/>
      </rPr>
      <t>-N in digested sludge</t>
    </r>
  </si>
  <si>
    <t>Assume 60% TSS removal</t>
  </si>
  <si>
    <t xml:space="preserve">Inlet Org-N - Org-N in Thickened Sludge </t>
  </si>
  <si>
    <t xml:space="preserve">Inlet TP - TP in Thickened Sludge </t>
  </si>
  <si>
    <r>
      <t>Inlet BOD</t>
    </r>
    <r>
      <rPr>
        <vertAlign val="subscript"/>
        <sz val="12"/>
        <color theme="1"/>
        <rFont val="Times New Roman"/>
        <family val="1"/>
      </rPr>
      <t xml:space="preserve">5 </t>
    </r>
    <r>
      <rPr>
        <sz val="12"/>
        <color theme="1"/>
        <rFont val="Times New Roman"/>
        <family val="1"/>
      </rPr>
      <t>- BOD</t>
    </r>
    <r>
      <rPr>
        <vertAlign val="subscript"/>
        <sz val="12"/>
        <color theme="1"/>
        <rFont val="Times New Roman"/>
        <family val="1"/>
      </rPr>
      <t xml:space="preserve">5 </t>
    </r>
    <r>
      <rPr>
        <sz val="12"/>
        <color theme="1"/>
        <rFont val="Times New Roman"/>
        <family val="1"/>
      </rPr>
      <t xml:space="preserve">in Thickened Sludge </t>
    </r>
  </si>
  <si>
    <t xml:space="preserve">Inlet TSS - TSS in Thickened Sludge </t>
  </si>
  <si>
    <t>VSS remaining after stabilisation + Inert solids</t>
  </si>
  <si>
    <t>Volume of beltwash water</t>
  </si>
  <si>
    <r>
      <t>Unstabilised BOD</t>
    </r>
    <r>
      <rPr>
        <vertAlign val="subscript"/>
        <sz val="12"/>
        <color theme="1"/>
        <rFont val="Times New Roman"/>
        <family val="1"/>
      </rPr>
      <t>5</t>
    </r>
    <r>
      <rPr>
        <sz val="12"/>
        <color theme="1"/>
        <rFont val="Times New Roman"/>
        <family val="1"/>
      </rPr>
      <t xml:space="preserve"> </t>
    </r>
  </si>
  <si>
    <r>
      <t>(1 - 0.6 Stabilised) * Inlet BOD</t>
    </r>
    <r>
      <rPr>
        <vertAlign val="subscript"/>
        <sz val="12"/>
        <color theme="1"/>
        <rFont val="Times New Roman"/>
        <family val="1"/>
      </rPr>
      <t>5</t>
    </r>
    <r>
      <rPr>
        <sz val="12"/>
        <color theme="1"/>
        <rFont val="Times New Roman"/>
        <family val="1"/>
      </rPr>
      <t xml:space="preserve"> to digester</t>
    </r>
  </si>
  <si>
    <r>
      <t>Assume 35% BOD</t>
    </r>
    <r>
      <rPr>
        <vertAlign val="subscript"/>
        <sz val="12"/>
        <color theme="1"/>
        <rFont val="Times New Roman"/>
        <family val="1"/>
      </rPr>
      <t>5</t>
    </r>
    <r>
      <rPr>
        <sz val="12"/>
        <color theme="1"/>
        <rFont val="Times New Roman"/>
        <family val="1"/>
      </rPr>
      <t xml:space="preserve"> removal</t>
    </r>
  </si>
  <si>
    <r>
      <t>Solids capture rate * inlet BOD</t>
    </r>
    <r>
      <rPr>
        <vertAlign val="subscript"/>
        <sz val="12"/>
        <color theme="1"/>
        <rFont val="Times New Roman"/>
        <family val="1"/>
      </rPr>
      <t>5</t>
    </r>
  </si>
  <si>
    <r>
      <t>Solids capture * Inlet BOD</t>
    </r>
    <r>
      <rPr>
        <vertAlign val="subscript"/>
        <sz val="12"/>
        <color theme="1"/>
        <rFont val="Times New Roman"/>
        <family val="1"/>
      </rPr>
      <t>5</t>
    </r>
  </si>
  <si>
    <t>Solids capture * Inlet TP</t>
  </si>
  <si>
    <t>Solids capture * Inlet Org-N</t>
  </si>
  <si>
    <t>TSS in (Primary sludge + Secondary sludge)</t>
  </si>
  <si>
    <r>
      <t>BOD</t>
    </r>
    <r>
      <rPr>
        <vertAlign val="subscript"/>
        <sz val="12"/>
        <color theme="1"/>
        <rFont val="Times New Roman"/>
        <family val="1"/>
      </rPr>
      <t>5</t>
    </r>
    <r>
      <rPr>
        <sz val="12"/>
        <color theme="1"/>
        <rFont val="Times New Roman"/>
        <family val="1"/>
      </rPr>
      <t xml:space="preserve"> in (Primary sludge + Secondary sludge)</t>
    </r>
  </si>
  <si>
    <t>TP in (Primary sludge + Secondary sludge)</t>
  </si>
  <si>
    <t>Org-N in (Primary sludge + Secondary sludge)</t>
  </si>
  <si>
    <r>
      <t>NH</t>
    </r>
    <r>
      <rPr>
        <vertAlign val="subscript"/>
        <sz val="12"/>
        <color theme="1"/>
        <rFont val="Times New Roman"/>
        <family val="1"/>
      </rPr>
      <t>3</t>
    </r>
    <r>
      <rPr>
        <sz val="12"/>
        <color theme="1"/>
        <rFont val="Times New Roman"/>
        <family val="1"/>
      </rPr>
      <t>-N in (Primary sludge + Secondary sludge)</t>
    </r>
  </si>
  <si>
    <t>Solids capture rate for sludge</t>
  </si>
  <si>
    <t xml:space="preserve">TSS </t>
  </si>
  <si>
    <r>
      <t>BOD</t>
    </r>
    <r>
      <rPr>
        <vertAlign val="subscript"/>
        <sz val="12"/>
        <color theme="1"/>
        <rFont val="Times New Roman"/>
        <family val="1"/>
      </rPr>
      <t xml:space="preserve">5  </t>
    </r>
  </si>
  <si>
    <r>
      <t>NH</t>
    </r>
    <r>
      <rPr>
        <vertAlign val="subscript"/>
        <sz val="12"/>
        <color theme="1"/>
        <rFont val="Times New Roman"/>
        <family val="1"/>
      </rPr>
      <t>3</t>
    </r>
    <r>
      <rPr>
        <sz val="12"/>
        <color theme="1"/>
        <rFont val="Times New Roman"/>
        <family val="1"/>
      </rPr>
      <t xml:space="preserve">-N </t>
    </r>
  </si>
  <si>
    <t xml:space="preserve">Org-N </t>
  </si>
  <si>
    <r>
      <t xml:space="preserve">Inlet </t>
    </r>
    <r>
      <rPr>
        <sz val="11"/>
        <color theme="1"/>
        <rFont val="Times New Roman"/>
        <family val="1"/>
      </rPr>
      <t xml:space="preserve">TVSS </t>
    </r>
  </si>
  <si>
    <r>
      <t>BOD</t>
    </r>
    <r>
      <rPr>
        <vertAlign val="subscript"/>
        <sz val="12"/>
        <color theme="1"/>
        <rFont val="Times New Roman"/>
        <family val="1"/>
      </rPr>
      <t>5</t>
    </r>
    <r>
      <rPr>
        <sz val="12"/>
        <color theme="1"/>
        <rFont val="Times New Roman"/>
        <family val="1"/>
      </rPr>
      <t xml:space="preserve"> </t>
    </r>
  </si>
  <si>
    <t xml:space="preserve">TKN </t>
  </si>
  <si>
    <r>
      <t>NH</t>
    </r>
    <r>
      <rPr>
        <vertAlign val="subscript"/>
        <sz val="12"/>
        <color theme="1"/>
        <rFont val="Times New Roman"/>
        <family val="1"/>
      </rPr>
      <t>3</t>
    </r>
    <r>
      <rPr>
        <sz val="12"/>
        <color theme="1"/>
        <rFont val="Times New Roman"/>
        <family val="1"/>
      </rPr>
      <t>- N</t>
    </r>
  </si>
  <si>
    <t xml:space="preserve">Flow </t>
  </si>
  <si>
    <t>VSS</t>
  </si>
  <si>
    <t>Assume 40% Org-N removal</t>
  </si>
  <si>
    <r>
      <t>BOD</t>
    </r>
    <r>
      <rPr>
        <vertAlign val="subscript"/>
        <sz val="12"/>
        <color theme="1"/>
        <rFont val="Times New Roman"/>
        <family val="1"/>
      </rPr>
      <t>5</t>
    </r>
    <r>
      <rPr>
        <sz val="12"/>
        <color theme="1"/>
        <rFont val="Times New Roman"/>
        <family val="1"/>
      </rPr>
      <t xml:space="preserve"> exerted by TSS in the sludge</t>
    </r>
  </si>
  <si>
    <r>
      <t>BOD</t>
    </r>
    <r>
      <rPr>
        <vertAlign val="subscript"/>
        <sz val="12"/>
        <color theme="1"/>
        <rFont val="Times New Roman"/>
        <family val="1"/>
      </rPr>
      <t>5</t>
    </r>
    <r>
      <rPr>
        <sz val="12"/>
        <color theme="1"/>
        <rFont val="Times New Roman"/>
        <family val="1"/>
      </rPr>
      <t xml:space="preserve"> exerted by TSS + Soluble BOD</t>
    </r>
    <r>
      <rPr>
        <vertAlign val="subscript"/>
        <sz val="12"/>
        <color theme="1"/>
        <rFont val="Times New Roman"/>
        <family val="1"/>
      </rPr>
      <t>5</t>
    </r>
    <r>
      <rPr>
        <sz val="12"/>
        <color theme="1"/>
        <rFont val="Times New Roman"/>
        <family val="1"/>
      </rPr>
      <t xml:space="preserve"> in the sludge</t>
    </r>
  </si>
  <si>
    <t>TP in (Primary sludge + SBR sludge)</t>
  </si>
  <si>
    <t>Org-N in (Primary sludge + SBR sludge)</t>
  </si>
  <si>
    <r>
      <t>NH</t>
    </r>
    <r>
      <rPr>
        <vertAlign val="subscript"/>
        <sz val="12"/>
        <color theme="1"/>
        <rFont val="Times New Roman"/>
        <family val="1"/>
      </rPr>
      <t>3</t>
    </r>
    <r>
      <rPr>
        <sz val="12"/>
        <color theme="1"/>
        <rFont val="Times New Roman"/>
        <family val="1"/>
      </rPr>
      <t>-N in (Primary sludge + SBR sludge)</t>
    </r>
  </si>
  <si>
    <t>(Organic fraction of solids in the inlet solids)/Total inlet solids</t>
  </si>
  <si>
    <r>
      <t>Inlet NH</t>
    </r>
    <r>
      <rPr>
        <vertAlign val="subscript"/>
        <sz val="12"/>
        <color theme="1"/>
        <rFont val="Times New Roman"/>
        <family val="1"/>
      </rPr>
      <t>3</t>
    </r>
    <r>
      <rPr>
        <sz val="12"/>
        <color theme="1"/>
        <rFont val="Times New Roman"/>
        <family val="1"/>
      </rPr>
      <t>-N - NH</t>
    </r>
    <r>
      <rPr>
        <vertAlign val="subscript"/>
        <sz val="12"/>
        <color theme="1"/>
        <rFont val="Times New Roman"/>
        <family val="1"/>
      </rPr>
      <t>3</t>
    </r>
    <r>
      <rPr>
        <sz val="12"/>
        <color theme="1"/>
        <rFont val="Times New Roman"/>
        <family val="1"/>
      </rPr>
      <t xml:space="preserve">-N in Thickened Sludge </t>
    </r>
  </si>
  <si>
    <r>
      <t>((Inlet Org-N x 0.15) + Inlet NH</t>
    </r>
    <r>
      <rPr>
        <vertAlign val="subscript"/>
        <sz val="12"/>
        <color theme="1"/>
        <rFont val="Times New Roman"/>
        <family val="1"/>
      </rPr>
      <t>3</t>
    </r>
    <r>
      <rPr>
        <sz val="12"/>
        <color theme="1"/>
        <rFont val="Times New Roman"/>
        <family val="1"/>
      </rPr>
      <t>-N)</t>
    </r>
  </si>
  <si>
    <r>
      <t xml:space="preserve"> Inlet NH</t>
    </r>
    <r>
      <rPr>
        <vertAlign val="subscript"/>
        <sz val="12"/>
        <color theme="1"/>
        <rFont val="Times New Roman"/>
        <family val="1"/>
      </rPr>
      <t>3</t>
    </r>
    <r>
      <rPr>
        <sz val="12"/>
        <color theme="1"/>
        <rFont val="Times New Roman"/>
        <family val="1"/>
      </rPr>
      <t>-N * (Outlet flow/Inlet flow)</t>
    </r>
  </si>
  <si>
    <t>Total TSS</t>
  </si>
  <si>
    <r>
      <t>TSS remaining in digested,</t>
    </r>
    <r>
      <rPr>
        <sz val="12"/>
        <color theme="1"/>
        <rFont val="Times New Roman"/>
        <family val="1"/>
      </rPr>
      <t>sludge (W</t>
    </r>
    <r>
      <rPr>
        <vertAlign val="subscript"/>
        <sz val="12"/>
        <color theme="1"/>
        <rFont val="Times New Roman"/>
        <family val="1"/>
      </rPr>
      <t>remaining</t>
    </r>
    <r>
      <rPr>
        <sz val="12"/>
        <color theme="1"/>
        <rFont val="Times New Roman"/>
        <family val="1"/>
      </rPr>
      <t>)</t>
    </r>
  </si>
  <si>
    <r>
      <t>W</t>
    </r>
    <r>
      <rPr>
        <vertAlign val="subscript"/>
        <sz val="12"/>
        <color theme="1"/>
        <rFont val="Times New Roman"/>
        <family val="1"/>
      </rPr>
      <t xml:space="preserve">sludge </t>
    </r>
  </si>
  <si>
    <t xml:space="preserve">CHAPTER 2 : MASS BALANCE CALCULATION </t>
  </si>
  <si>
    <t>(b) 18 MLD flow shall be directly fed to SBR</t>
  </si>
  <si>
    <t>:</t>
  </si>
  <si>
    <t>Filtrate flow from thickener + Centrate flow from COTDM + Backwash water from Filter</t>
  </si>
  <si>
    <t>PRIMARY SLUDGE GENERATED (FROM PST)</t>
  </si>
  <si>
    <t>mg/L     :</t>
  </si>
  <si>
    <t>SECONDARY SLUDGE GENERATED FROM SBR</t>
  </si>
  <si>
    <t>-</t>
  </si>
  <si>
    <r>
      <t>NH</t>
    </r>
    <r>
      <rPr>
        <vertAlign val="subscript"/>
        <sz val="12"/>
        <color theme="1"/>
        <rFont val="Times New Roman"/>
        <family val="1"/>
      </rPr>
      <t>3</t>
    </r>
    <r>
      <rPr>
        <sz val="12"/>
        <color theme="1"/>
        <rFont val="Times New Roman"/>
        <family val="1"/>
      </rPr>
      <t>-N in sludge</t>
    </r>
  </si>
  <si>
    <t>TKN in sludge</t>
  </si>
  <si>
    <r>
      <t>Org-N in sludge + NH</t>
    </r>
    <r>
      <rPr>
        <vertAlign val="subscript"/>
        <sz val="12"/>
        <color theme="1"/>
        <rFont val="Times New Roman"/>
        <family val="1"/>
      </rPr>
      <t>3</t>
    </r>
    <r>
      <rPr>
        <sz val="12"/>
        <color theme="1"/>
        <rFont val="Times New Roman"/>
        <family val="1"/>
      </rPr>
      <t>-N in sludge</t>
    </r>
  </si>
  <si>
    <t>Inlet sewage flow to Primary Clarifier</t>
  </si>
  <si>
    <t xml:space="preserve">kg/day </t>
  </si>
  <si>
    <t xml:space="preserve">Specific gravity of WAS </t>
  </si>
  <si>
    <t>Excess sludge flow</t>
  </si>
  <si>
    <r>
      <t>m</t>
    </r>
    <r>
      <rPr>
        <vertAlign val="superscript"/>
        <sz val="12"/>
        <color theme="1"/>
        <rFont val="Times New Roman"/>
        <family val="1"/>
      </rPr>
      <t>3</t>
    </r>
    <r>
      <rPr>
        <sz val="12"/>
        <color theme="1"/>
        <rFont val="Times New Roman"/>
        <family val="1"/>
      </rPr>
      <t>/day</t>
    </r>
  </si>
  <si>
    <t>Excess sludge (WAS) produced*</t>
  </si>
  <si>
    <t xml:space="preserve">TP* </t>
  </si>
  <si>
    <t>Org-N in TSS *</t>
  </si>
  <si>
    <r>
      <t>NH</t>
    </r>
    <r>
      <rPr>
        <vertAlign val="subscript"/>
        <sz val="12"/>
        <color theme="1"/>
        <rFont val="Times New Roman"/>
        <family val="1"/>
      </rPr>
      <t>3</t>
    </r>
    <r>
      <rPr>
        <sz val="12"/>
        <color theme="1"/>
        <rFont val="Times New Roman"/>
        <family val="1"/>
      </rPr>
      <t>- N *</t>
    </r>
  </si>
  <si>
    <t>TKN*</t>
  </si>
  <si>
    <t xml:space="preserve">Nitrate -N* </t>
  </si>
  <si>
    <t>TN*</t>
  </si>
  <si>
    <t>Organic fraction in secondary sludge sludge (TVSS/TSS)*</t>
  </si>
  <si>
    <r>
      <t>BOD</t>
    </r>
    <r>
      <rPr>
        <vertAlign val="subscript"/>
        <sz val="12"/>
        <color theme="1"/>
        <rFont val="Times New Roman"/>
        <family val="1"/>
      </rPr>
      <t>5</t>
    </r>
    <r>
      <rPr>
        <sz val="12"/>
        <color theme="1"/>
        <rFont val="Times New Roman"/>
        <family val="1"/>
      </rPr>
      <t xml:space="preserve"> exerted by TSS + Soluble BOD</t>
    </r>
    <r>
      <rPr>
        <vertAlign val="subscript"/>
        <sz val="12"/>
        <color theme="1"/>
        <rFont val="Times New Roman"/>
        <family val="1"/>
      </rPr>
      <t>5</t>
    </r>
    <r>
      <rPr>
        <sz val="12"/>
        <color theme="1"/>
        <rFont val="Times New Roman"/>
        <family val="1"/>
      </rPr>
      <t xml:space="preserve"> in sludge</t>
    </r>
  </si>
  <si>
    <t>Inlet Sludge flow</t>
  </si>
  <si>
    <t>Consistency of WAS</t>
  </si>
  <si>
    <t xml:space="preserve">TSS generated due to polyelectrolyte </t>
  </si>
  <si>
    <t>57.4 kg/day + 549 kg/day</t>
  </si>
  <si>
    <t>0 kg/day +1.6 kg/day</t>
  </si>
  <si>
    <t>Thickened sludge underflow</t>
  </si>
  <si>
    <t>Solids capture rate for sludge generated by polyelectrolyte</t>
  </si>
  <si>
    <t xml:space="preserve">TSS in the thickened Sludge </t>
  </si>
  <si>
    <t xml:space="preserve">Solids capture rate for (PST +SBR) sludge </t>
  </si>
  <si>
    <t>Specific gravity of sludge</t>
  </si>
  <si>
    <t>Consistency of sludge</t>
  </si>
  <si>
    <t>0.95*606.40 kg/day</t>
  </si>
  <si>
    <t>Filtrate flow</t>
  </si>
  <si>
    <t>Total inlet TSS</t>
  </si>
  <si>
    <t>606.40 kg/day - 576.08 kg/day</t>
  </si>
  <si>
    <t>Inlet sewage flow to Primary clarifier</t>
  </si>
  <si>
    <t>Secondary sludge produced</t>
  </si>
  <si>
    <t>0.5*13050 kg/day</t>
  </si>
  <si>
    <t>NOTE: Sludge production in extended aeration process is less than 0.45 kgTSS/kg BOD removed. However, sludge yield is assumed as 0.5 kg TSS/kg BOD removed, in case of non - availability of parameters for existing STP for safer side.</t>
  </si>
  <si>
    <t>Primary sludge produced</t>
  </si>
  <si>
    <r>
      <t>0.5 kg TSS / kg BOD</t>
    </r>
    <r>
      <rPr>
        <vertAlign val="subscript"/>
        <sz val="12"/>
        <color theme="1"/>
        <rFont val="Times New Roman"/>
        <family val="1"/>
      </rPr>
      <t>5</t>
    </r>
    <r>
      <rPr>
        <sz val="12"/>
        <color theme="1"/>
        <rFont val="Times New Roman"/>
        <family val="1"/>
      </rPr>
      <t xml:space="preserve"> removed </t>
    </r>
  </si>
  <si>
    <r>
      <t>Soluble BOD</t>
    </r>
    <r>
      <rPr>
        <vertAlign val="subscript"/>
        <sz val="12"/>
        <color theme="1"/>
        <rFont val="Times New Roman"/>
        <family val="1"/>
      </rPr>
      <t xml:space="preserve">5 </t>
    </r>
    <r>
      <rPr>
        <sz val="12"/>
        <color theme="1"/>
        <rFont val="Times New Roman"/>
        <family val="1"/>
      </rPr>
      <t>in the sludge</t>
    </r>
    <r>
      <rPr>
        <vertAlign val="subscript"/>
        <sz val="12"/>
        <color theme="1"/>
        <rFont val="Times New Roman"/>
        <family val="1"/>
      </rPr>
      <t xml:space="preserve"> </t>
    </r>
    <r>
      <rPr>
        <sz val="12"/>
        <color theme="1"/>
        <rFont val="Times New Roman"/>
        <family val="1"/>
      </rPr>
      <t>(mg/L)</t>
    </r>
  </si>
  <si>
    <r>
      <t>Soluble BOD</t>
    </r>
    <r>
      <rPr>
        <vertAlign val="subscript"/>
        <sz val="12"/>
        <color theme="1"/>
        <rFont val="Times New Roman"/>
        <family val="1"/>
      </rPr>
      <t>5</t>
    </r>
    <r>
      <rPr>
        <sz val="12"/>
        <color theme="1"/>
        <rFont val="Times New Roman"/>
        <family val="1"/>
      </rPr>
      <t xml:space="preserve"> in the sludge (kg/day)</t>
    </r>
  </si>
  <si>
    <t>3.7 mg/L*0.799 MLD</t>
  </si>
  <si>
    <t>4095.35 kg/day + 2.98 kg/day</t>
  </si>
  <si>
    <t>6525 kg/day *0.65 *1.42 *0.68</t>
  </si>
  <si>
    <t>0.122*0.8*6525 kg/day</t>
  </si>
  <si>
    <r>
      <t>g/m</t>
    </r>
    <r>
      <rPr>
        <vertAlign val="superscript"/>
        <sz val="12"/>
        <color theme="1"/>
        <rFont val="Times New Roman"/>
        <family val="1"/>
      </rPr>
      <t>3</t>
    </r>
    <r>
      <rPr>
        <sz val="12"/>
        <color theme="1"/>
        <rFont val="Times New Roman"/>
        <family val="1"/>
      </rPr>
      <t xml:space="preserve"> of sludge</t>
    </r>
  </si>
  <si>
    <r>
      <t>BOD</t>
    </r>
    <r>
      <rPr>
        <vertAlign val="subscript"/>
        <sz val="12"/>
        <color theme="1"/>
        <rFont val="Times New Roman"/>
        <family val="1"/>
      </rPr>
      <t>5</t>
    </r>
    <r>
      <rPr>
        <sz val="12"/>
        <color theme="1"/>
        <rFont val="Times New Roman"/>
        <family val="1"/>
      </rPr>
      <t xml:space="preserve"> in the secondary sludge</t>
    </r>
  </si>
  <si>
    <t>TP removed in primary clarifier</t>
  </si>
  <si>
    <t>0.1*7 mg/L</t>
  </si>
  <si>
    <t>TP in the influent to aeration tank</t>
  </si>
  <si>
    <t>42 kg/day + 318 kg/day</t>
  </si>
  <si>
    <t>Inlet sludge flow</t>
  </si>
  <si>
    <t>Thickened sludge flow</t>
  </si>
  <si>
    <r>
      <t>Org-N in inlet sludge + NH</t>
    </r>
    <r>
      <rPr>
        <vertAlign val="subscript"/>
        <sz val="12"/>
        <color theme="1"/>
        <rFont val="Times New Roman"/>
        <family val="1"/>
      </rPr>
      <t>3</t>
    </r>
    <r>
      <rPr>
        <sz val="12"/>
        <color theme="1"/>
        <rFont val="Times New Roman"/>
        <family val="1"/>
      </rPr>
      <t>-N in inlet sludge)</t>
    </r>
  </si>
  <si>
    <t>Inlet thickened sludge flow</t>
  </si>
  <si>
    <r>
      <t>Sludge flow (V</t>
    </r>
    <r>
      <rPr>
        <vertAlign val="subscript"/>
        <sz val="12"/>
        <color theme="1"/>
        <rFont val="Times New Roman"/>
        <family val="1"/>
      </rPr>
      <t>influent</t>
    </r>
    <r>
      <rPr>
        <sz val="12"/>
        <color theme="1"/>
        <rFont val="Times New Roman"/>
        <family val="1"/>
      </rPr>
      <t>)</t>
    </r>
  </si>
  <si>
    <t>Sludge flow/mass</t>
  </si>
  <si>
    <t>Thickened sludge from proposed STP + Thickened sludge from existing plant</t>
  </si>
  <si>
    <t>Digested Sludge flow</t>
  </si>
  <si>
    <r>
      <t>Total digested sludge, W</t>
    </r>
    <r>
      <rPr>
        <vertAlign val="subscript"/>
        <sz val="12"/>
        <color theme="1"/>
        <rFont val="Times New Roman"/>
        <family val="1"/>
      </rPr>
      <t>sludge</t>
    </r>
    <r>
      <rPr>
        <sz val="12"/>
        <color theme="1"/>
        <rFont val="Times New Roman"/>
        <family val="1"/>
      </rPr>
      <t xml:space="preserve"> = W</t>
    </r>
    <r>
      <rPr>
        <vertAlign val="subscript"/>
        <sz val="12"/>
        <color theme="1"/>
        <rFont val="Times New Roman"/>
        <family val="1"/>
      </rPr>
      <t>remaining</t>
    </r>
  </si>
  <si>
    <t>Inlet sludge flow from digester</t>
  </si>
  <si>
    <t xml:space="preserve">TSS in the digested sludge </t>
  </si>
  <si>
    <t>TSS generated due to polyelectrolyte</t>
  </si>
  <si>
    <t>Dewatered sludge characteristics</t>
  </si>
  <si>
    <t>(Effect of sludge due to polelectrolyte is insignificant)</t>
  </si>
  <si>
    <t>Solids capture rate for polyelectrolyte</t>
  </si>
  <si>
    <t>Total TSS in the dewatered sludge</t>
  </si>
  <si>
    <t>Dewatered sludge flow</t>
  </si>
  <si>
    <t>Beltwash water quality</t>
  </si>
  <si>
    <t>L/day</t>
  </si>
  <si>
    <t>Say,</t>
  </si>
  <si>
    <r>
      <t>BOD</t>
    </r>
    <r>
      <rPr>
        <vertAlign val="subscript"/>
        <sz val="12"/>
        <color theme="1"/>
        <rFont val="Times New Roman"/>
        <family val="1"/>
      </rPr>
      <t xml:space="preserve">5 </t>
    </r>
    <r>
      <rPr>
        <sz val="12"/>
        <color theme="1"/>
        <rFont val="Times New Roman"/>
        <family val="1"/>
      </rPr>
      <t>in the final treated water</t>
    </r>
  </si>
  <si>
    <t>TSS in the final treated water</t>
  </si>
  <si>
    <t>TSS in the beltwash water</t>
  </si>
  <si>
    <t>TP in the final treated water</t>
  </si>
  <si>
    <t>TP in the beltwash water</t>
  </si>
  <si>
    <t>Org-N in the final treated water</t>
  </si>
  <si>
    <r>
      <t>NH</t>
    </r>
    <r>
      <rPr>
        <vertAlign val="subscript"/>
        <sz val="12"/>
        <color theme="1"/>
        <rFont val="Times New Roman"/>
        <family val="1"/>
      </rPr>
      <t>3</t>
    </r>
    <r>
      <rPr>
        <sz val="12"/>
        <color theme="1"/>
        <rFont val="Times New Roman"/>
        <family val="1"/>
      </rPr>
      <t>-N in the beltwash water</t>
    </r>
  </si>
  <si>
    <r>
      <t>NH</t>
    </r>
    <r>
      <rPr>
        <vertAlign val="subscript"/>
        <sz val="12"/>
        <color theme="1"/>
        <rFont val="Times New Roman"/>
        <family val="1"/>
      </rPr>
      <t>3</t>
    </r>
    <r>
      <rPr>
        <sz val="12"/>
        <color theme="1"/>
        <rFont val="Times New Roman"/>
        <family val="1"/>
      </rPr>
      <t>-N in the final treated water</t>
    </r>
  </si>
  <si>
    <t>Filtrate flow from COTDM</t>
  </si>
  <si>
    <t>Flow/mass</t>
  </si>
  <si>
    <t>Digested sludge + beltwash water - sludge cake</t>
  </si>
  <si>
    <r>
      <t>Org-N in the filtrate + NH</t>
    </r>
    <r>
      <rPr>
        <vertAlign val="subscript"/>
        <sz val="12"/>
        <color theme="1"/>
        <rFont val="Times New Roman"/>
        <family val="1"/>
      </rPr>
      <t>3</t>
    </r>
    <r>
      <rPr>
        <sz val="12"/>
        <color theme="1"/>
        <rFont val="Times New Roman"/>
        <family val="1"/>
      </rPr>
      <t>-N in the filtrate</t>
    </r>
  </si>
  <si>
    <t>TP in the backwash water</t>
  </si>
  <si>
    <t>Org-N in the backwash water</t>
  </si>
  <si>
    <r>
      <t>NH</t>
    </r>
    <r>
      <rPr>
        <vertAlign val="subscript"/>
        <sz val="12"/>
        <color theme="1"/>
        <rFont val="Times New Roman"/>
        <family val="1"/>
      </rPr>
      <t>3</t>
    </r>
    <r>
      <rPr>
        <sz val="12"/>
        <color theme="1"/>
        <rFont val="Times New Roman"/>
        <family val="1"/>
      </rPr>
      <t>-N in the backwash water</t>
    </r>
  </si>
  <si>
    <t>TOTAL COMBINED OTHERFLOW TO BE RECYCLED BACK TO INLET CHAMBER OF STP</t>
  </si>
  <si>
    <t>TKN in the backwash water</t>
  </si>
  <si>
    <r>
      <t>(TSS in sludge in kg/day) x (0.65 biodegradable solids/kg TSS) x (1.42 kg BOD</t>
    </r>
    <r>
      <rPr>
        <vertAlign val="subscript"/>
        <sz val="12"/>
        <color theme="1"/>
        <rFont val="Times New Roman"/>
        <family val="1"/>
      </rPr>
      <t>L</t>
    </r>
    <r>
      <rPr>
        <sz val="12"/>
        <color theme="1"/>
        <rFont val="Times New Roman"/>
        <family val="1"/>
      </rPr>
      <t>/ kg biodegradable solids) x (0.68 kg BOD</t>
    </r>
    <r>
      <rPr>
        <vertAlign val="subscript"/>
        <sz val="12"/>
        <color theme="1"/>
        <rFont val="Times New Roman"/>
        <family val="1"/>
      </rPr>
      <t>5</t>
    </r>
    <r>
      <rPr>
        <sz val="12"/>
        <color theme="1"/>
        <rFont val="Times New Roman"/>
        <family val="1"/>
      </rPr>
      <t xml:space="preserve"> / kg BOD</t>
    </r>
    <r>
      <rPr>
        <vertAlign val="subscript"/>
        <sz val="12"/>
        <color theme="1"/>
        <rFont val="Times New Roman"/>
        <family val="1"/>
      </rPr>
      <t>L</t>
    </r>
    <r>
      <rPr>
        <sz val="12"/>
        <color theme="1"/>
        <rFont val="Times New Roman"/>
        <family val="1"/>
      </rPr>
      <t>)</t>
    </r>
  </si>
  <si>
    <t>Specific gravity of combined sludge</t>
  </si>
  <si>
    <t>TP required in the final treated effluent</t>
  </si>
  <si>
    <r>
      <t>Inlet NH</t>
    </r>
    <r>
      <rPr>
        <vertAlign val="subscript"/>
        <sz val="12"/>
        <color theme="1"/>
        <rFont val="Times New Roman"/>
        <family val="1"/>
      </rPr>
      <t>3</t>
    </r>
    <r>
      <rPr>
        <sz val="12"/>
        <color theme="1"/>
        <rFont val="Times New Roman"/>
        <family val="1"/>
      </rPr>
      <t>-Nx(thickener underflow/thickener inlet flow)</t>
    </r>
  </si>
  <si>
    <t>Basic assumptions</t>
  </si>
  <si>
    <r>
      <t>V</t>
    </r>
    <r>
      <rPr>
        <vertAlign val="subscript"/>
        <sz val="12"/>
        <color theme="1"/>
        <rFont val="Times New Roman"/>
        <family val="1"/>
      </rPr>
      <t xml:space="preserve">sludge </t>
    </r>
    <r>
      <rPr>
        <sz val="12"/>
        <color theme="1"/>
        <rFont val="Times New Roman"/>
        <family val="1"/>
      </rPr>
      <t>= V</t>
    </r>
    <r>
      <rPr>
        <vertAlign val="subscript"/>
        <sz val="12"/>
        <color theme="1"/>
        <rFont val="Times New Roman"/>
        <family val="1"/>
      </rPr>
      <t>influent</t>
    </r>
  </si>
  <si>
    <t xml:space="preserve">           280 mg/L/400 mg/L</t>
  </si>
  <si>
    <t xml:space="preserve">       0.6*32800 kgSS/day</t>
  </si>
  <si>
    <t xml:space="preserve">        % removal * Inlet TSS</t>
  </si>
  <si>
    <r>
      <t xml:space="preserve">       % removal * Inlet BOD</t>
    </r>
    <r>
      <rPr>
        <vertAlign val="subscript"/>
        <sz val="12"/>
        <color theme="1"/>
        <rFont val="Times New Roman"/>
        <family val="1"/>
      </rPr>
      <t>5</t>
    </r>
  </si>
  <si>
    <r>
      <t xml:space="preserve">       0.35*28700 kg BOD</t>
    </r>
    <r>
      <rPr>
        <vertAlign val="subscript"/>
        <sz val="12"/>
        <color theme="1"/>
        <rFont val="Times New Roman"/>
        <family val="1"/>
      </rPr>
      <t>5</t>
    </r>
    <r>
      <rPr>
        <sz val="12"/>
        <color theme="1"/>
        <rFont val="Times New Roman"/>
        <family val="1"/>
      </rPr>
      <t>/day</t>
    </r>
  </si>
  <si>
    <t xml:space="preserve">      % removal * Inlet TP</t>
  </si>
  <si>
    <t xml:space="preserve">      0.10*574 kg TP/day</t>
  </si>
  <si>
    <t xml:space="preserve">      % removal * Inlet Org-N</t>
  </si>
  <si>
    <t xml:space="preserve">      0.4*820 kg Org-N /day</t>
  </si>
  <si>
    <r>
      <t xml:space="preserve">      Org-N in sludge + NH</t>
    </r>
    <r>
      <rPr>
        <vertAlign val="subscript"/>
        <sz val="12"/>
        <color theme="1"/>
        <rFont val="Times New Roman"/>
        <family val="1"/>
      </rPr>
      <t>3</t>
    </r>
    <r>
      <rPr>
        <sz val="12"/>
        <color theme="1"/>
        <rFont val="Times New Roman"/>
        <family val="1"/>
      </rPr>
      <t>-N in sludge</t>
    </r>
  </si>
  <si>
    <r>
      <rPr>
        <b/>
        <sz val="12"/>
        <color theme="1"/>
        <rFont val="Times New Roman"/>
        <family val="1"/>
      </rPr>
      <t xml:space="preserve">* </t>
    </r>
    <r>
      <rPr>
        <sz val="12"/>
        <color theme="1"/>
        <rFont val="Times New Roman"/>
        <family val="1"/>
      </rPr>
      <t>Refer Annexure -III for sludge production calculation</t>
    </r>
  </si>
  <si>
    <t xml:space="preserve">      TSS in (Primary sludge + SBR sludge)</t>
  </si>
  <si>
    <r>
      <t xml:space="preserve">  BOD</t>
    </r>
    <r>
      <rPr>
        <vertAlign val="subscript"/>
        <sz val="12"/>
        <color theme="1"/>
        <rFont val="Times New Roman"/>
        <family val="1"/>
      </rPr>
      <t>5</t>
    </r>
    <r>
      <rPr>
        <sz val="12"/>
        <color theme="1"/>
        <rFont val="Times New Roman"/>
        <family val="1"/>
      </rPr>
      <t xml:space="preserve"> in (Primary sludge + SBR sludge)</t>
    </r>
  </si>
  <si>
    <t>Organic fraction (TVSS/TSS)</t>
  </si>
  <si>
    <t xml:space="preserve">       0.6*24000 kg/day</t>
  </si>
  <si>
    <t xml:space="preserve">       % removal * Inlet TSS</t>
  </si>
  <si>
    <t xml:space="preserve">       0.35*21000 kg/day</t>
  </si>
  <si>
    <t xml:space="preserve">       % removal * Inlet TP</t>
  </si>
  <si>
    <t xml:space="preserve">       0.10*420 kg/day</t>
  </si>
  <si>
    <t xml:space="preserve">       % removal * Inlet Org-N</t>
  </si>
  <si>
    <t xml:space="preserve">       0.4*600 kg/day</t>
  </si>
  <si>
    <r>
      <t xml:space="preserve">    Org-N in sludge + NH</t>
    </r>
    <r>
      <rPr>
        <vertAlign val="subscript"/>
        <sz val="12"/>
        <color theme="1"/>
        <rFont val="Times New Roman"/>
        <family val="1"/>
      </rPr>
      <t>3</t>
    </r>
    <r>
      <rPr>
        <sz val="12"/>
        <color theme="1"/>
        <rFont val="Times New Roman"/>
        <family val="1"/>
      </rPr>
      <t>-N in sludge</t>
    </r>
  </si>
  <si>
    <t xml:space="preserve">  </t>
  </si>
  <si>
    <t xml:space="preserve">        0.35*350 mg/L</t>
  </si>
  <si>
    <t>(6.3 mg/L – 1 mg/L) x 60 MLD</t>
  </si>
  <si>
    <t>Organic fraction  (TVSS/TSS)</t>
  </si>
  <si>
    <r>
      <t>NOTE: Anaerobic digestion in the proposed STP is considered as a high rate digestion process with continuous complete mixed system and therefore, no supernatant flow to be generated. Moreover, it is also assumed that no liquid volume change occurs in the digetser. Hence, Inlet thickened Sludge flow,V</t>
    </r>
    <r>
      <rPr>
        <b/>
        <vertAlign val="subscript"/>
        <sz val="12"/>
        <color theme="1"/>
        <rFont val="Times New Roman"/>
        <family val="1"/>
      </rPr>
      <t>influent</t>
    </r>
    <r>
      <rPr>
        <b/>
        <sz val="12"/>
        <color theme="1"/>
        <rFont val="Times New Roman"/>
        <family val="1"/>
      </rPr>
      <t xml:space="preserve"> = Digested Sludge flow,V</t>
    </r>
    <r>
      <rPr>
        <b/>
        <vertAlign val="subscript"/>
        <sz val="12"/>
        <color theme="1"/>
        <rFont val="Times New Roman"/>
        <family val="1"/>
      </rPr>
      <t>sludge</t>
    </r>
    <r>
      <rPr>
        <b/>
        <sz val="12"/>
        <color theme="1"/>
        <rFont val="Times New Roman"/>
        <family val="1"/>
      </rPr>
      <t>.</t>
    </r>
  </si>
  <si>
    <t>COMBINED THICKENING AND DEWATERING MACHINE (COTDM)</t>
  </si>
  <si>
    <t>Organic fraction(TVSS/TSS)</t>
  </si>
  <si>
    <t>Consistency of combined sludge</t>
  </si>
  <si>
    <r>
      <t>W</t>
    </r>
    <r>
      <rPr>
        <vertAlign val="subscript"/>
        <sz val="12"/>
        <color theme="1"/>
        <rFont val="Times New Roman"/>
        <family val="1"/>
      </rPr>
      <t>sludge</t>
    </r>
    <r>
      <rPr>
        <sz val="12"/>
        <color theme="1"/>
        <rFont val="Times New Roman"/>
        <family val="1"/>
      </rPr>
      <t>/(Consistency*1.03*1000 kg/m</t>
    </r>
    <r>
      <rPr>
        <vertAlign val="superscript"/>
        <sz val="12"/>
        <color theme="1"/>
        <rFont val="Times New Roman"/>
        <family val="1"/>
      </rPr>
      <t>3</t>
    </r>
    <r>
      <rPr>
        <sz val="12"/>
        <color theme="1"/>
        <rFont val="Times New Roman"/>
        <family val="1"/>
      </rPr>
      <t>)………..…(a)</t>
    </r>
  </si>
  <si>
    <r>
      <t>TSS in digested sludge removed from digester(W</t>
    </r>
    <r>
      <rPr>
        <vertAlign val="subscript"/>
        <sz val="12"/>
        <color theme="1"/>
        <rFont val="Times New Roman"/>
        <family val="1"/>
      </rPr>
      <t>sludge</t>
    </r>
    <r>
      <rPr>
        <sz val="12"/>
        <color theme="1"/>
        <rFont val="Times New Roman"/>
        <family val="1"/>
      </rPr>
      <t>)</t>
    </r>
  </si>
  <si>
    <t>COD</t>
  </si>
  <si>
    <t>L/kg TSS feed</t>
  </si>
  <si>
    <t>SBR</t>
  </si>
  <si>
    <r>
      <t>Inlet NH</t>
    </r>
    <r>
      <rPr>
        <vertAlign val="subscript"/>
        <sz val="12"/>
        <color theme="1"/>
        <rFont val="Times New Roman"/>
        <family val="1"/>
      </rPr>
      <t>3</t>
    </r>
    <r>
      <rPr>
        <sz val="12"/>
        <color theme="1"/>
        <rFont val="Times New Roman"/>
        <family val="1"/>
      </rPr>
      <t>-N *(Sludge underflow/ thickener inlet flow)</t>
    </r>
  </si>
  <si>
    <t xml:space="preserve">       (227.5 mg/L – 10 mg/L) x 60 MLD</t>
  </si>
  <si>
    <t>TSS in the Disc filter inlet</t>
  </si>
  <si>
    <r>
      <t>BOD</t>
    </r>
    <r>
      <rPr>
        <vertAlign val="subscript"/>
        <sz val="12"/>
        <color theme="1"/>
        <rFont val="Times New Roman"/>
        <family val="1"/>
      </rPr>
      <t>5</t>
    </r>
    <r>
      <rPr>
        <sz val="12"/>
        <color theme="1"/>
        <rFont val="Times New Roman"/>
        <family val="1"/>
      </rPr>
      <t xml:space="preserve"> in the Disc filter inlet</t>
    </r>
  </si>
  <si>
    <r>
      <t>BOD</t>
    </r>
    <r>
      <rPr>
        <vertAlign val="subscript"/>
        <sz val="12"/>
        <color theme="1"/>
        <rFont val="Times New Roman"/>
        <family val="1"/>
      </rPr>
      <t>5</t>
    </r>
    <r>
      <rPr>
        <sz val="12"/>
        <color theme="1"/>
        <rFont val="Times New Roman"/>
        <family val="1"/>
      </rPr>
      <t xml:space="preserve"> in the backwash water</t>
    </r>
  </si>
  <si>
    <t>COD/BOD</t>
  </si>
  <si>
    <t xml:space="preserve">Inlet COD </t>
  </si>
  <si>
    <t>PST Bypass</t>
  </si>
  <si>
    <t>COD in PST bypass</t>
  </si>
  <si>
    <t xml:space="preserve">COD in clarified </t>
  </si>
  <si>
    <t>TP in the Disc filter inlet</t>
  </si>
  <si>
    <t>Org-N in the Disc filter inlet</t>
  </si>
  <si>
    <r>
      <t>NH</t>
    </r>
    <r>
      <rPr>
        <vertAlign val="subscript"/>
        <sz val="12"/>
        <color theme="1"/>
        <rFont val="Times New Roman"/>
        <family val="1"/>
      </rPr>
      <t>3</t>
    </r>
    <r>
      <rPr>
        <sz val="12"/>
        <color theme="1"/>
        <rFont val="Times New Roman"/>
        <family val="1"/>
      </rPr>
      <t>-N in the Disc filter inlet</t>
    </r>
  </si>
  <si>
    <t>TSS in the Disc filter inlet in kg/day</t>
  </si>
  <si>
    <t>Org-N in the Disc filter outlet</t>
  </si>
  <si>
    <r>
      <t>NH</t>
    </r>
    <r>
      <rPr>
        <vertAlign val="subscript"/>
        <sz val="12"/>
        <color theme="1"/>
        <rFont val="Times New Roman"/>
        <family val="1"/>
      </rPr>
      <t>3</t>
    </r>
    <r>
      <rPr>
        <sz val="12"/>
        <color theme="1"/>
        <rFont val="Times New Roman"/>
        <family val="1"/>
      </rPr>
      <t>-N in the Disc filter outlet</t>
    </r>
  </si>
  <si>
    <t>TSS in the Disc filter outlet</t>
  </si>
  <si>
    <t>BACKWASH WATER FROM DISC FILTER</t>
  </si>
  <si>
    <r>
      <t>BOD</t>
    </r>
    <r>
      <rPr>
        <vertAlign val="subscript"/>
        <sz val="12"/>
        <color theme="1"/>
        <rFont val="Times New Roman"/>
        <family val="1"/>
      </rPr>
      <t>5</t>
    </r>
    <r>
      <rPr>
        <sz val="12"/>
        <color theme="1"/>
        <rFont val="Times New Roman"/>
        <family val="1"/>
      </rPr>
      <t xml:space="preserve"> in the Disc filter outlet</t>
    </r>
  </si>
  <si>
    <r>
      <t>BOD</t>
    </r>
    <r>
      <rPr>
        <vertAlign val="subscript"/>
        <sz val="12"/>
        <color theme="1"/>
        <rFont val="Times New Roman"/>
        <family val="1"/>
      </rPr>
      <t>5</t>
    </r>
    <r>
      <rPr>
        <sz val="12"/>
        <color theme="1"/>
        <rFont val="Times New Roman"/>
        <family val="1"/>
      </rPr>
      <t xml:space="preserve"> in the Disc filter inlet in kg/day</t>
    </r>
  </si>
  <si>
    <t>TP in the Disc filter outlet</t>
  </si>
  <si>
    <t>TP in the Disc filter inlet in kg/day</t>
  </si>
  <si>
    <t>TP in the Disc filter outlet in kg/day</t>
  </si>
  <si>
    <r>
      <t>NH</t>
    </r>
    <r>
      <rPr>
        <vertAlign val="subscript"/>
        <sz val="12"/>
        <color theme="1"/>
        <rFont val="Times New Roman"/>
        <family val="1"/>
      </rPr>
      <t>3</t>
    </r>
    <r>
      <rPr>
        <sz val="12"/>
        <color theme="1"/>
        <rFont val="Times New Roman"/>
        <family val="1"/>
      </rPr>
      <t>-N in the Disc filter outlet  in kg/day</t>
    </r>
  </si>
  <si>
    <r>
      <t>NH</t>
    </r>
    <r>
      <rPr>
        <vertAlign val="subscript"/>
        <sz val="12"/>
        <color theme="1"/>
        <rFont val="Times New Roman"/>
        <family val="1"/>
      </rPr>
      <t>3</t>
    </r>
    <r>
      <rPr>
        <sz val="12"/>
        <color theme="1"/>
        <rFont val="Times New Roman"/>
        <family val="1"/>
      </rPr>
      <t>-N in the Disc filter inlet in kg/day</t>
    </r>
  </si>
  <si>
    <t>Org-N in the Disc filter outlet  in kg/day</t>
  </si>
  <si>
    <t>Org-N in the Disc filter inlet in kg/day</t>
  </si>
  <si>
    <t>COD in SBR inlet</t>
  </si>
  <si>
    <t>Outlet flow from Disc filter</t>
  </si>
  <si>
    <t>TSS in the Disc filter outlet in kg/day</t>
  </si>
  <si>
    <t>mg/L (For design purpose)</t>
  </si>
  <si>
    <t>Poly dosing required</t>
  </si>
  <si>
    <t>Considering safety factor</t>
  </si>
  <si>
    <t xml:space="preserve">kg/MT of inlet TSS </t>
  </si>
  <si>
    <t>Poly dosing considered for design purpose</t>
  </si>
  <si>
    <t xml:space="preserve">mg/L </t>
  </si>
  <si>
    <r>
      <t>BOD</t>
    </r>
    <r>
      <rPr>
        <vertAlign val="subscript"/>
        <sz val="12"/>
        <color theme="1"/>
        <rFont val="Times New Roman"/>
        <family val="1"/>
      </rPr>
      <t>5</t>
    </r>
    <r>
      <rPr>
        <sz val="12"/>
        <color theme="1"/>
        <rFont val="Times New Roman"/>
        <family val="1"/>
      </rPr>
      <t xml:space="preserve"> in the Disc filter outlet in kg/day</t>
    </r>
  </si>
  <si>
    <t>Very negligible Org-N load will be removed from the filtration unit. Hence, Org-N in backwash outlet flow = Org-N in inlet to disc filter - Org-N in the outlet from disc filter.</t>
  </si>
  <si>
    <t>Very negligible TP load will be removed from the filtration unit. Hence, TP in backwash outlet flow = TP in inlet to disc filter - TP in the outlet from disc filter.</t>
  </si>
  <si>
    <r>
      <t>Very negligible NH</t>
    </r>
    <r>
      <rPr>
        <vertAlign val="subscript"/>
        <sz val="12"/>
        <color theme="1"/>
        <rFont val="Times New Roman"/>
        <family val="1"/>
      </rPr>
      <t>3</t>
    </r>
    <r>
      <rPr>
        <sz val="12"/>
        <color theme="1"/>
        <rFont val="Times New Roman"/>
        <family val="1"/>
      </rPr>
      <t>-N load will be removed from the filtration unit. Hence, NH</t>
    </r>
    <r>
      <rPr>
        <vertAlign val="subscript"/>
        <sz val="12"/>
        <color theme="1"/>
        <rFont val="Times New Roman"/>
        <family val="1"/>
      </rPr>
      <t>3</t>
    </r>
    <r>
      <rPr>
        <sz val="12"/>
        <color theme="1"/>
        <rFont val="Times New Roman"/>
        <family val="1"/>
      </rPr>
      <t>-N in backwash outlet flow = NH</t>
    </r>
    <r>
      <rPr>
        <vertAlign val="subscript"/>
        <sz val="12"/>
        <color theme="1"/>
        <rFont val="Times New Roman"/>
        <family val="1"/>
      </rPr>
      <t>3</t>
    </r>
    <r>
      <rPr>
        <sz val="12"/>
        <color theme="1"/>
        <rFont val="Times New Roman"/>
        <family val="1"/>
      </rPr>
      <t>-N in inlet to disc filter - NH</t>
    </r>
    <r>
      <rPr>
        <vertAlign val="subscript"/>
        <sz val="12"/>
        <color theme="1"/>
        <rFont val="Times New Roman"/>
        <family val="1"/>
      </rPr>
      <t>3</t>
    </r>
    <r>
      <rPr>
        <sz val="12"/>
        <color theme="1"/>
        <rFont val="Times New Roman"/>
        <family val="1"/>
      </rPr>
      <t>-N in the outlet from disc filter.</t>
    </r>
  </si>
  <si>
    <r>
      <t>(NH</t>
    </r>
    <r>
      <rPr>
        <vertAlign val="subscript"/>
        <sz val="12"/>
        <color theme="1"/>
        <rFont val="Times New Roman"/>
        <family val="1"/>
      </rPr>
      <t>3</t>
    </r>
    <r>
      <rPr>
        <sz val="12"/>
        <color theme="1"/>
        <rFont val="Times New Roman"/>
        <family val="1"/>
      </rPr>
      <t>-N + Org-N ) in backwash water</t>
    </r>
  </si>
  <si>
    <t>SBR inlet parameters considered for design</t>
  </si>
  <si>
    <t>Inlet flow to Disc filter</t>
  </si>
  <si>
    <t xml:space="preserve">    240 kg/day + 0 kg/day</t>
  </si>
  <si>
    <t>7350 kg/day + 4098.3 kg/day</t>
  </si>
  <si>
    <t>240 kg/day + 636.84 kg/day</t>
  </si>
  <si>
    <t>0 kg/day + 0.8 kg/day</t>
  </si>
  <si>
    <t>876.84 kg/day + 0.8 kg/day</t>
  </si>
  <si>
    <r>
      <t>Org-N in the sludge + NH</t>
    </r>
    <r>
      <rPr>
        <vertAlign val="subscript"/>
        <sz val="12"/>
        <color theme="1"/>
        <rFont val="Times New Roman"/>
        <family val="1"/>
      </rPr>
      <t>3</t>
    </r>
    <r>
      <rPr>
        <sz val="12"/>
        <color theme="1"/>
        <rFont val="Times New Roman"/>
        <family val="1"/>
      </rPr>
      <t>-N in the sludge</t>
    </r>
  </si>
  <si>
    <r>
      <t>Org-N in beltwash water + NH</t>
    </r>
    <r>
      <rPr>
        <vertAlign val="subscript"/>
        <sz val="12"/>
        <color theme="1"/>
        <rFont val="Times New Roman"/>
        <family val="1"/>
      </rPr>
      <t>3</t>
    </r>
    <r>
      <rPr>
        <sz val="12"/>
        <color theme="1"/>
        <rFont val="Times New Roman"/>
        <family val="1"/>
      </rPr>
      <t>-N in beltwash water</t>
    </r>
  </si>
  <si>
    <r>
      <t>Org-N in the sludge + NH</t>
    </r>
    <r>
      <rPr>
        <vertAlign val="subscript"/>
        <sz val="12"/>
        <color theme="1"/>
        <rFont val="Times New Roman"/>
        <family val="1"/>
      </rPr>
      <t xml:space="preserve">3 </t>
    </r>
    <r>
      <rPr>
        <sz val="12"/>
        <color theme="1"/>
        <rFont val="Times New Roman"/>
        <family val="1"/>
      </rPr>
      <t>-N in the sludge</t>
    </r>
  </si>
  <si>
    <t>14400 kg/day + 6525 kg/day</t>
  </si>
  <si>
    <t>((20925)/(1.025*(799.63 + 349.51))/10</t>
  </si>
  <si>
    <t>Org-N in the beltwash water</t>
  </si>
  <si>
    <r>
      <t>BOD</t>
    </r>
    <r>
      <rPr>
        <vertAlign val="subscript"/>
        <sz val="12"/>
        <color theme="1"/>
        <rFont val="Times New Roman"/>
        <family val="1"/>
      </rPr>
      <t>5</t>
    </r>
    <r>
      <rPr>
        <sz val="12"/>
        <color theme="1"/>
        <rFont val="Times New Roman"/>
        <family val="1"/>
      </rPr>
      <t xml:space="preserve"> in the beltwash water</t>
    </r>
  </si>
  <si>
    <t xml:space="preserve">TSS in the backwash water </t>
  </si>
  <si>
    <t xml:space="preserve">Backwash water </t>
  </si>
  <si>
    <t>SCREW THICKENER FOR THICKENING OF SLUDGE FROM EXISTING STP</t>
  </si>
  <si>
    <t>2 kg*20.925 MT/day</t>
  </si>
  <si>
    <t xml:space="preserve"> 20925 kg/day + 41.85 kg/day</t>
  </si>
  <si>
    <t>0.95*20925 kg/day + 0.8*41.85 kg/day</t>
  </si>
  <si>
    <r>
      <t>0.8*(241.86 m</t>
    </r>
    <r>
      <rPr>
        <vertAlign val="superscript"/>
        <sz val="12"/>
        <color theme="1"/>
        <rFont val="Times New Roman"/>
        <family val="1"/>
      </rPr>
      <t>3</t>
    </r>
    <r>
      <rPr>
        <sz val="12"/>
        <color theme="1"/>
        <rFont val="Times New Roman"/>
        <family val="1"/>
      </rPr>
      <t>day/1149.15 m</t>
    </r>
    <r>
      <rPr>
        <vertAlign val="superscript"/>
        <sz val="12"/>
        <color theme="1"/>
        <rFont val="Times New Roman"/>
        <family val="1"/>
      </rPr>
      <t>3</t>
    </r>
    <r>
      <rPr>
        <sz val="12"/>
        <color theme="1"/>
        <rFont val="Times New Roman"/>
        <family val="1"/>
      </rPr>
      <t>/day)</t>
    </r>
  </si>
  <si>
    <t>0.95*11448.33 kg/day</t>
  </si>
  <si>
    <t>0.95*360 kg/day</t>
  </si>
  <si>
    <t>0.95*876.84 kg/day</t>
  </si>
  <si>
    <t>576.08 kg/day + 342 kg/day</t>
  </si>
  <si>
    <t>0.29 kg/day + 0.17 kg/day</t>
  </si>
  <si>
    <t>Percentage of VSS destructed</t>
  </si>
  <si>
    <r>
      <t>(0.67*24</t>
    </r>
    <r>
      <rPr>
        <vertAlign val="superscript"/>
        <sz val="12"/>
        <color theme="1"/>
        <rFont val="Times New Roman"/>
        <family val="1"/>
      </rPr>
      <t>o</t>
    </r>
    <r>
      <rPr>
        <sz val="12"/>
        <color theme="1"/>
        <rFont val="Times New Roman"/>
        <family val="1"/>
      </rPr>
      <t>C+36)/100</t>
    </r>
  </si>
  <si>
    <t>0.71 x 0.48 x Inlet TSS + (1-0.71) x Inlet TSS</t>
  </si>
  <si>
    <t>Sludge generated from Primary Clarifier</t>
  </si>
  <si>
    <t>Primary sludge flow</t>
  </si>
  <si>
    <t xml:space="preserve">Combined sludge flow </t>
  </si>
  <si>
    <t>Secondary sludge flow</t>
  </si>
  <si>
    <t xml:space="preserve">    (8347 +6.07) kg/day</t>
  </si>
  <si>
    <t xml:space="preserve">      19680 kg/day + 13300 kg/day</t>
  </si>
  <si>
    <t>((32980)/(1.025*(1629.9 + 477.67))/10</t>
  </si>
  <si>
    <t xml:space="preserve">   2 kg*32.980 MT/day</t>
  </si>
  <si>
    <t xml:space="preserve">   32980 kg/day + 65.96 kg/day</t>
  </si>
  <si>
    <t xml:space="preserve">   10045 kg/day + 8353.68 kg/day</t>
  </si>
  <si>
    <t>328 kg/day + 1058 kg/day</t>
  </si>
  <si>
    <t>1386 kg/day + 1.6 kg/day</t>
  </si>
  <si>
    <t>((0.7 * 19680 kg/day) + (0.7 * 13300 kg/day)) /  32980kg/day</t>
  </si>
  <si>
    <t>0.95*32980 kg/day + 0.8*65.96 kg/day</t>
  </si>
  <si>
    <t>0.95*18398.68 kg/day</t>
  </si>
  <si>
    <t>0.95*1386 kg/day</t>
  </si>
  <si>
    <t>1316.70 kg/day + 0.29 kg/day</t>
  </si>
  <si>
    <r>
      <t>2107.57 m</t>
    </r>
    <r>
      <rPr>
        <vertAlign val="superscript"/>
        <sz val="12"/>
        <color theme="1"/>
        <rFont val="Times New Roman"/>
        <family val="1"/>
      </rPr>
      <t>3</t>
    </r>
    <r>
      <rPr>
        <sz val="12"/>
        <color theme="1"/>
        <rFont val="Times New Roman"/>
        <family val="1"/>
      </rPr>
      <t>/day - 380.87 m</t>
    </r>
    <r>
      <rPr>
        <vertAlign val="superscript"/>
        <sz val="12"/>
        <color theme="1"/>
        <rFont val="Times New Roman"/>
        <family val="1"/>
      </rPr>
      <t>3</t>
    </r>
    <r>
      <rPr>
        <sz val="12"/>
        <color theme="1"/>
        <rFont val="Times New Roman"/>
        <family val="1"/>
      </rPr>
      <t>/day</t>
    </r>
  </si>
  <si>
    <t>33045.96 kg/day - 31383.77 kg/day</t>
  </si>
  <si>
    <t>1386 kg/day - 1316.7 kg/day</t>
  </si>
  <si>
    <t>1.6 kg/day - 0.29 kg/day</t>
  </si>
  <si>
    <t>69.3 kg/day + 1.31 kg/day</t>
  </si>
  <si>
    <t>31383.77 kg/day + 19912.23 kg/day</t>
  </si>
  <si>
    <t>17478.75 kg/day + 10875.91 kg/day</t>
  </si>
  <si>
    <t>1316.70 kg/day + 833 kg/day</t>
  </si>
  <si>
    <t>2149.70 kg/day + 0.46 kg/day</t>
  </si>
  <si>
    <t>((0.73*19912.23 kg/day) + (0.7*31383.77 kg/day)) / 51296 kg/day</t>
  </si>
  <si>
    <t>0.71*51296 kg/day</t>
  </si>
  <si>
    <t>17504.27 kg/day /32272.15 kg/day</t>
  </si>
  <si>
    <r>
      <t>32272.15 kg/day/(1.03*1000 kg/m</t>
    </r>
    <r>
      <rPr>
        <vertAlign val="superscript"/>
        <sz val="12"/>
        <color theme="1"/>
        <rFont val="Times New Roman"/>
        <family val="1"/>
      </rPr>
      <t>3</t>
    </r>
    <r>
      <rPr>
        <sz val="12"/>
        <color theme="1"/>
        <rFont val="Times New Roman"/>
        <family val="1"/>
      </rPr>
      <t>*622.52 m</t>
    </r>
    <r>
      <rPr>
        <vertAlign val="superscript"/>
        <sz val="12"/>
        <color theme="1"/>
        <rFont val="Times New Roman"/>
        <family val="1"/>
      </rPr>
      <t>3</t>
    </r>
    <r>
      <rPr>
        <sz val="12"/>
        <color theme="1"/>
        <rFont val="Times New Roman"/>
        <family val="1"/>
      </rPr>
      <t>/d)</t>
    </r>
  </si>
  <si>
    <t>2149.7 kg/day *(1- 0.15)</t>
  </si>
  <si>
    <t>0.15*2149.7 kg/day + 0.46 kg/day</t>
  </si>
  <si>
    <t>1827.24kg/day + 322.91 kg/day</t>
  </si>
  <si>
    <t>6 kg*32.272 MT/day</t>
  </si>
  <si>
    <t>32272.15 kg/day + 193.63 kg/day</t>
  </si>
  <si>
    <t>0.95*32272.15 kg/day + 0.8*193.63 kg/day</t>
  </si>
  <si>
    <t>0.95*11341.86 kg/day</t>
  </si>
  <si>
    <t>0.95*918.08 kg/day</t>
  </si>
  <si>
    <t>0.95*1827.24 kg/day</t>
  </si>
  <si>
    <r>
      <t>322.91 kg/day *(116.28 m</t>
    </r>
    <r>
      <rPr>
        <vertAlign val="superscript"/>
        <sz val="12"/>
        <color theme="1"/>
        <rFont val="Times New Roman"/>
        <family val="1"/>
      </rPr>
      <t>3</t>
    </r>
    <r>
      <rPr>
        <sz val="12"/>
        <color theme="1"/>
        <rFont val="Times New Roman"/>
        <family val="1"/>
      </rPr>
      <t>/day/622.52 m</t>
    </r>
    <r>
      <rPr>
        <vertAlign val="superscript"/>
        <sz val="12"/>
        <color theme="1"/>
        <rFont val="Times New Roman"/>
        <family val="1"/>
      </rPr>
      <t>3</t>
    </r>
    <r>
      <rPr>
        <sz val="12"/>
        <color theme="1"/>
        <rFont val="Times New Roman"/>
        <family val="1"/>
      </rPr>
      <t>/day)</t>
    </r>
  </si>
  <si>
    <t>1735.88 kg/day + 60.31 kg/day</t>
  </si>
  <si>
    <t>13.6 * 32272.15 kg/day</t>
  </si>
  <si>
    <t>0.44 MLD * 10 mg/L</t>
  </si>
  <si>
    <t>0.44 MLD * 1mg/L</t>
  </si>
  <si>
    <t>0.44 MLD * 2 mg/L</t>
  </si>
  <si>
    <t>0.44 MLD * 1 mg/L</t>
  </si>
  <si>
    <r>
      <t>622.52 m</t>
    </r>
    <r>
      <rPr>
        <vertAlign val="superscript"/>
        <sz val="12"/>
        <color theme="1"/>
        <rFont val="Times New Roman"/>
        <family val="1"/>
      </rPr>
      <t>3</t>
    </r>
    <r>
      <rPr>
        <sz val="12"/>
        <color theme="1"/>
        <rFont val="Times New Roman"/>
        <family val="1"/>
      </rPr>
      <t>/day + 440 m</t>
    </r>
    <r>
      <rPr>
        <vertAlign val="superscript"/>
        <sz val="12"/>
        <color theme="1"/>
        <rFont val="Times New Roman"/>
        <family val="1"/>
      </rPr>
      <t>3</t>
    </r>
    <r>
      <rPr>
        <sz val="12"/>
        <color theme="1"/>
        <rFont val="Times New Roman"/>
        <family val="1"/>
      </rPr>
      <t>/day - 116.28 m</t>
    </r>
    <r>
      <rPr>
        <vertAlign val="superscript"/>
        <sz val="12"/>
        <color theme="1"/>
        <rFont val="Times New Roman"/>
        <family val="1"/>
      </rPr>
      <t>3</t>
    </r>
    <r>
      <rPr>
        <sz val="12"/>
        <color theme="1"/>
        <rFont val="Times New Roman"/>
        <family val="1"/>
      </rPr>
      <t>/day</t>
    </r>
  </si>
  <si>
    <t>32465.79 kg/day + 4.40 kg/day - 30813.45  kg/day</t>
  </si>
  <si>
    <t>11341.86 kg/day + 4.40 kg/day - 10774.77 kg/day</t>
  </si>
  <si>
    <t>918.08 kg/day + 0.44 kg/day - 872.18 kg/day</t>
  </si>
  <si>
    <t>1827.24 kg/day + 0.88 kg/day - 1735.88 kg/day</t>
  </si>
  <si>
    <t>322.91 kg/day + 0.44 kg/day - 60.31 kg/day</t>
  </si>
  <si>
    <t>92.24 kg/day +263.04 kg/day</t>
  </si>
  <si>
    <r>
      <t>m</t>
    </r>
    <r>
      <rPr>
        <vertAlign val="superscript"/>
        <sz val="12"/>
        <color theme="1"/>
        <rFont val="Times New Roman"/>
        <family val="1"/>
      </rPr>
      <t>3</t>
    </r>
    <r>
      <rPr>
        <sz val="12"/>
        <color theme="1"/>
        <rFont val="Times New Roman"/>
        <family val="1"/>
      </rPr>
      <t xml:space="preserve">/d, say </t>
    </r>
    <r>
      <rPr>
        <b/>
        <sz val="12"/>
        <color theme="1"/>
        <rFont val="Times New Roman"/>
        <family val="1"/>
      </rPr>
      <t>4100 m</t>
    </r>
    <r>
      <rPr>
        <b/>
        <vertAlign val="superscript"/>
        <sz val="12"/>
        <color theme="1"/>
        <rFont val="Times New Roman"/>
        <family val="1"/>
      </rPr>
      <t>3</t>
    </r>
    <r>
      <rPr>
        <b/>
        <sz val="12"/>
        <color theme="1"/>
        <rFont val="Times New Roman"/>
        <family val="1"/>
      </rPr>
      <t>/day</t>
    </r>
  </si>
  <si>
    <t>WITH RECYCLE FLOW (16.5 MLD IS DIRECTLY TAKEN TO SBR INLET FROM OUTLET OF INLET UNITS)</t>
  </si>
  <si>
    <t>((51296)/(1.03*(380.87+241.65))/10</t>
  </si>
  <si>
    <t>18398.68 kg/day - 17478.75 kg/day</t>
  </si>
  <si>
    <t>((0.7*14400 kg/day)+(0.8*6525 kg/day))/20925 kg/day</t>
  </si>
  <si>
    <t>833 kg/day + 0.17 kg/day</t>
  </si>
  <si>
    <r>
      <t xml:space="preserve">(0.67*T + 36 )/100 </t>
    </r>
    <r>
      <rPr>
        <b/>
        <i/>
        <sz val="12"/>
        <color theme="1"/>
        <rFont val="Times New Roman"/>
        <family val="1"/>
      </rPr>
      <t>(Ref.: 9)</t>
    </r>
  </si>
  <si>
    <t>2 % of 68 MLD</t>
  </si>
  <si>
    <t>20 mg/L * 68 MLD</t>
  </si>
  <si>
    <t>5 mg/L * 66.64 MLD</t>
  </si>
  <si>
    <t>(1360 - 333.2) kg/day</t>
  </si>
  <si>
    <t>13 mg/L * 68 MLD</t>
  </si>
  <si>
    <t>10 mg/L * 66.64 MLD</t>
  </si>
  <si>
    <t>(884 - 666.4) kg/day</t>
  </si>
  <si>
    <t>1 mg/L * 68 MLD</t>
  </si>
  <si>
    <t>1 mg/L *66.64 MLD</t>
  </si>
  <si>
    <t>(68 - 66.64) kg/day</t>
  </si>
  <si>
    <t>2 mg/L * 68 MLD</t>
  </si>
  <si>
    <t>2 mg/L * 66.64 MLD</t>
  </si>
  <si>
    <t>(136 - 133.28) kg/day</t>
  </si>
  <si>
    <t>1 mg/L * 66.64 MLD</t>
  </si>
  <si>
    <t>(2.72 + 1.36) kg/day</t>
  </si>
  <si>
    <r>
      <t>(1726.7 + 946.25 + 1360) m</t>
    </r>
    <r>
      <rPr>
        <vertAlign val="superscript"/>
        <sz val="12"/>
        <color theme="1"/>
        <rFont val="Times New Roman"/>
        <family val="1"/>
      </rPr>
      <t>3</t>
    </r>
    <r>
      <rPr>
        <sz val="12"/>
        <color theme="1"/>
        <rFont val="Times New Roman"/>
        <family val="1"/>
      </rPr>
      <t>/day</t>
    </r>
  </si>
  <si>
    <t>(1662.19 + 1656.73 + 1026.8) kg/day</t>
  </si>
  <si>
    <t>(919.93 + 571.49+ 217.6) kg/day</t>
  </si>
  <si>
    <t>(30.32 + 46.34 + 1.36) kg/day</t>
  </si>
  <si>
    <t>(69.3 + 92.24 + 2.72) kg/day</t>
  </si>
  <si>
    <t>(1.31 + 263.04 + 1.36) kg/day</t>
  </si>
  <si>
    <t>(164.26 + 265.71) kg/day</t>
  </si>
  <si>
    <r>
      <t>1.6 kg/day*(380.87 m</t>
    </r>
    <r>
      <rPr>
        <vertAlign val="superscript"/>
        <sz val="12"/>
        <color theme="1"/>
        <rFont val="Times New Roman"/>
        <family val="1"/>
      </rPr>
      <t>3</t>
    </r>
    <r>
      <rPr>
        <sz val="12"/>
        <color theme="1"/>
        <rFont val="Times New Roman"/>
        <family val="1"/>
      </rPr>
      <t>/day/2107.57 m</t>
    </r>
    <r>
      <rPr>
        <vertAlign val="superscript"/>
        <sz val="12"/>
        <color theme="1"/>
        <rFont val="Times New Roman"/>
        <family val="1"/>
      </rPr>
      <t>3</t>
    </r>
    <r>
      <rPr>
        <sz val="12"/>
        <color theme="1"/>
        <rFont val="Times New Roman"/>
        <family val="1"/>
      </rPr>
      <t>/day)</t>
    </r>
  </si>
  <si>
    <t>Primary Sludge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</si>
</sst>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22"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Times New Roman"/>
      <family val="1"/>
    </font>
    <font>
      <sz val="12"/>
      <color theme="1"/>
      <name val="Times New Roman"/>
      <family val="1"/>
    </font>
    <font>
      <vertAlign val="subscript"/>
      <sz val="12"/>
      <color theme="1"/>
      <name val="Times New Roman"/>
      <family val="1"/>
    </font>
    <font>
      <vertAlign val="superscript"/>
      <sz val="12"/>
      <color theme="1"/>
      <name val="Times New Roman"/>
      <family val="1"/>
    </font>
    <font>
      <sz val="12"/>
      <name val="Times New Roman"/>
      <family val="1"/>
    </font>
    <font>
      <i/>
      <u/>
      <sz val="12"/>
      <color theme="1"/>
      <name val="Times New Roman"/>
      <family val="1"/>
    </font>
    <font>
      <b/>
      <i/>
      <u/>
      <sz val="12"/>
      <color theme="1"/>
      <name val="Times New Roman"/>
      <family val="1"/>
    </font>
    <font>
      <b/>
      <sz val="13"/>
      <color theme="1"/>
      <name val="Times New Roman"/>
      <family val="1"/>
    </font>
    <font>
      <sz val="13"/>
      <color theme="1"/>
      <name val="Times New Roman"/>
      <family val="1"/>
    </font>
    <font>
      <b/>
      <vertAlign val="superscript"/>
      <sz val="11"/>
      <color theme="1"/>
      <name val="Calibri"/>
      <family val="2"/>
      <scheme val="minor"/>
    </font>
    <font>
      <vertAlign val="subscript"/>
      <sz val="11"/>
      <color theme="1"/>
      <name val="Calibri"/>
      <family val="2"/>
      <scheme val="minor"/>
    </font>
    <font>
      <b/>
      <sz val="12"/>
      <color theme="1"/>
      <name val="Calibri"/>
      <family val="2"/>
      <scheme val="minor"/>
    </font>
    <font>
      <vertAlign val="superscript"/>
      <sz val="11"/>
      <color theme="1"/>
      <name val="Calibri"/>
      <family val="2"/>
      <scheme val="minor"/>
    </font>
    <font>
      <b/>
      <sz val="14"/>
      <color theme="1"/>
      <name val="Times New Roman"/>
      <family val="1"/>
    </font>
    <font>
      <sz val="11"/>
      <color theme="1"/>
      <name val="Times New Roman"/>
      <family val="1"/>
    </font>
    <font>
      <b/>
      <vertAlign val="subscript"/>
      <sz val="12"/>
      <color theme="1"/>
      <name val="Times New Roman"/>
      <family val="1"/>
    </font>
    <font>
      <b/>
      <vertAlign val="superscript"/>
      <sz val="12"/>
      <color theme="1"/>
      <name val="Times New Roman"/>
      <family val="1"/>
    </font>
    <font>
      <i/>
      <sz val="12"/>
      <color theme="1"/>
      <name val="Times New Roman"/>
      <family val="1"/>
    </font>
    <font>
      <b/>
      <i/>
      <sz val="12"/>
      <color theme="1"/>
      <name val="Times New Roman"/>
      <family val="1"/>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s>
  <cellStyleXfs count="1">
    <xf numFmtId="0" fontId="0" fillId="0" borderId="0"/>
  </cellStyleXfs>
  <cellXfs count="250">
    <xf numFmtId="0" fontId="0" fillId="0" borderId="0" xfId="0"/>
    <xf numFmtId="0" fontId="0" fillId="0" borderId="1" xfId="0" applyBorder="1"/>
    <xf numFmtId="0" fontId="0" fillId="0" borderId="1" xfId="0" applyFill="1" applyBorder="1"/>
    <xf numFmtId="0" fontId="1" fillId="0" borderId="8" xfId="0" applyFont="1" applyBorder="1" applyAlignment="1">
      <alignment horizontal="center" wrapText="1"/>
    </xf>
    <xf numFmtId="0" fontId="1" fillId="0" borderId="3" xfId="0" applyFont="1" applyBorder="1" applyAlignment="1">
      <alignment horizontal="center" vertical="center" wrapText="1"/>
    </xf>
    <xf numFmtId="0" fontId="1" fillId="0" borderId="1"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vertical="center" wrapText="1"/>
    </xf>
    <xf numFmtId="0" fontId="2" fillId="0" borderId="0" xfId="0" applyFont="1" applyBorder="1" applyAlignment="1">
      <alignment vertical="center"/>
    </xf>
    <xf numFmtId="0" fontId="2" fillId="0" borderId="7" xfId="0" applyFont="1" applyBorder="1" applyAlignment="1">
      <alignment vertical="center"/>
    </xf>
    <xf numFmtId="0" fontId="3" fillId="0" borderId="0" xfId="0" applyFont="1"/>
    <xf numFmtId="0" fontId="4" fillId="0" borderId="0" xfId="0" applyFont="1"/>
    <xf numFmtId="0" fontId="4" fillId="0" borderId="0" xfId="0" applyFont="1" applyAlignment="1">
      <alignment vertical="center"/>
    </xf>
    <xf numFmtId="2" fontId="4" fillId="0" borderId="0" xfId="0" applyNumberFormat="1" applyFont="1"/>
    <xf numFmtId="0" fontId="4" fillId="0" borderId="0" xfId="0" applyFont="1" applyFill="1"/>
    <xf numFmtId="164" fontId="4" fillId="0" borderId="0" xfId="0" applyNumberFormat="1" applyFont="1"/>
    <xf numFmtId="1" fontId="4" fillId="0" borderId="0" xfId="0" applyNumberFormat="1" applyFont="1"/>
    <xf numFmtId="2" fontId="4" fillId="0" borderId="0" xfId="0" applyNumberFormat="1" applyFont="1" applyFill="1"/>
    <xf numFmtId="2" fontId="4" fillId="0" borderId="0" xfId="0" applyNumberFormat="1" applyFont="1" applyAlignment="1">
      <alignment vertical="center"/>
    </xf>
    <xf numFmtId="0" fontId="4" fillId="0" borderId="0" xfId="0" applyFont="1" applyFill="1" applyAlignment="1">
      <alignment vertical="center"/>
    </xf>
    <xf numFmtId="0" fontId="4" fillId="0" borderId="0" xfId="0" applyFont="1" applyAlignment="1">
      <alignment horizontal="left" vertical="center"/>
    </xf>
    <xf numFmtId="2" fontId="4" fillId="0" borderId="0" xfId="0" applyNumberFormat="1" applyFont="1" applyAlignment="1">
      <alignment horizontal="right"/>
    </xf>
    <xf numFmtId="164" fontId="4" fillId="0" borderId="0" xfId="0" applyNumberFormat="1" applyFont="1" applyFill="1" applyAlignment="1">
      <alignment vertical="center"/>
    </xf>
    <xf numFmtId="9" fontId="4" fillId="0" borderId="0" xfId="0" applyNumberFormat="1" applyFont="1"/>
    <xf numFmtId="1" fontId="4" fillId="0" borderId="0" xfId="0" applyNumberFormat="1" applyFont="1" applyFill="1"/>
    <xf numFmtId="0" fontId="4" fillId="0" borderId="0" xfId="0" applyFont="1" applyAlignment="1">
      <alignment horizontal="left" wrapText="1"/>
    </xf>
    <xf numFmtId="0" fontId="4" fillId="0" borderId="0" xfId="0" applyFont="1" applyAlignment="1">
      <alignment horizontal="left" vertical="center" wrapText="1"/>
    </xf>
    <xf numFmtId="1" fontId="4" fillId="0" borderId="0" xfId="0" applyNumberFormat="1" applyFont="1" applyAlignment="1">
      <alignment horizontal="left" vertical="center" wrapText="1"/>
    </xf>
    <xf numFmtId="0" fontId="4" fillId="0" borderId="0" xfId="0" applyFont="1" applyAlignment="1">
      <alignment horizontal="left"/>
    </xf>
    <xf numFmtId="0" fontId="4" fillId="0" borderId="0" xfId="0" applyFont="1" applyFill="1" applyAlignment="1">
      <alignment horizontal="center" vertical="center"/>
    </xf>
    <xf numFmtId="0" fontId="4" fillId="0" borderId="0" xfId="0" applyFont="1" applyAlignment="1">
      <alignment vertical="center" wrapText="1"/>
    </xf>
    <xf numFmtId="1" fontId="4" fillId="0" borderId="0" xfId="0" applyNumberFormat="1" applyFont="1" applyAlignment="1">
      <alignment vertical="center" wrapText="1"/>
    </xf>
    <xf numFmtId="0" fontId="4" fillId="0" borderId="0" xfId="0" applyFont="1" applyAlignment="1">
      <alignment wrapText="1"/>
    </xf>
    <xf numFmtId="0" fontId="7" fillId="0" borderId="0" xfId="0" applyFont="1" applyFill="1"/>
    <xf numFmtId="0" fontId="3" fillId="0" borderId="0" xfId="0" applyFont="1" applyFill="1" applyBorder="1" applyAlignment="1">
      <alignment vertical="center" wrapText="1"/>
    </xf>
    <xf numFmtId="0" fontId="8"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0" fontId="11" fillId="0" borderId="0" xfId="0" applyFont="1"/>
    <xf numFmtId="0" fontId="10" fillId="0" borderId="0" xfId="0" applyFont="1"/>
    <xf numFmtId="0" fontId="10" fillId="0" borderId="0" xfId="0" applyFont="1" applyFill="1" applyAlignment="1">
      <alignment vertical="center"/>
    </xf>
    <xf numFmtId="0" fontId="11" fillId="0" borderId="0" xfId="0" applyFont="1" applyFill="1" applyAlignment="1">
      <alignment vertical="center"/>
    </xf>
    <xf numFmtId="0" fontId="7" fillId="0" borderId="0" xfId="0" applyFont="1" applyFill="1" applyAlignment="1">
      <alignment vertical="center"/>
    </xf>
    <xf numFmtId="0" fontId="11" fillId="0" borderId="0" xfId="0" applyFont="1" applyFill="1" applyBorder="1" applyAlignment="1">
      <alignment horizontal="left" vertical="center" wrapText="1"/>
    </xf>
    <xf numFmtId="1" fontId="4" fillId="0" borderId="0" xfId="0" applyNumberFormat="1" applyFont="1" applyAlignment="1">
      <alignment horizontal="left" wrapText="1"/>
    </xf>
    <xf numFmtId="164" fontId="4" fillId="0" borderId="0" xfId="0" applyNumberFormat="1" applyFont="1" applyFill="1"/>
    <xf numFmtId="0" fontId="4" fillId="0" borderId="0" xfId="0" applyFont="1" applyAlignment="1">
      <alignment vertical="top"/>
    </xf>
    <xf numFmtId="0" fontId="1" fillId="0" borderId="4" xfId="0" applyFont="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xf>
    <xf numFmtId="2" fontId="0" fillId="0" borderId="4" xfId="0" applyNumberFormat="1"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4" fontId="0" fillId="0" borderId="1" xfId="0" applyNumberFormat="1" applyBorder="1" applyAlignment="1">
      <alignment horizontal="center"/>
    </xf>
    <xf numFmtId="0" fontId="0" fillId="0" borderId="1" xfId="0" applyFill="1" applyBorder="1" applyAlignment="1">
      <alignment horizontal="center"/>
    </xf>
    <xf numFmtId="0" fontId="9" fillId="0" borderId="0" xfId="0" applyFont="1" applyAlignment="1">
      <alignment vertical="center"/>
    </xf>
    <xf numFmtId="1" fontId="0"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0" fillId="0" borderId="0" xfId="0" applyAlignment="1">
      <alignment horizontal="center"/>
    </xf>
    <xf numFmtId="0" fontId="1" fillId="0" borderId="1" xfId="0" applyFont="1" applyBorder="1" applyAlignment="1">
      <alignment horizontal="left" vertical="center" wrapText="1"/>
    </xf>
    <xf numFmtId="0" fontId="4" fillId="0" borderId="0" xfId="0" applyFont="1" applyAlignment="1"/>
    <xf numFmtId="0" fontId="8" fillId="0" borderId="0" xfId="0" applyFont="1" applyAlignment="1">
      <alignment horizontal="left" vertical="center"/>
    </xf>
    <xf numFmtId="0" fontId="1" fillId="0" borderId="1" xfId="0" applyFont="1" applyBorder="1" applyAlignment="1">
      <alignment horizontal="center" vertical="center" wrapText="1"/>
    </xf>
    <xf numFmtId="0" fontId="0" fillId="0" borderId="0" xfId="0" applyFill="1"/>
    <xf numFmtId="0" fontId="1" fillId="0" borderId="1" xfId="0" applyFont="1" applyBorder="1" applyAlignment="1">
      <alignment horizontal="center" wrapText="1"/>
    </xf>
    <xf numFmtId="2" fontId="0" fillId="0" borderId="1" xfId="0" applyNumberFormat="1" applyBorder="1" applyAlignment="1">
      <alignment horizontal="center" vertical="center"/>
    </xf>
    <xf numFmtId="165" fontId="0" fillId="0" borderId="1" xfId="0" applyNumberFormat="1" applyBorder="1" applyAlignment="1">
      <alignment horizontal="center" vertical="center"/>
    </xf>
    <xf numFmtId="0" fontId="1" fillId="0" borderId="1" xfId="0" applyFont="1" applyBorder="1" applyAlignment="1">
      <alignment horizontal="center" vertical="center"/>
    </xf>
    <xf numFmtId="2" fontId="0" fillId="0" borderId="1" xfId="0" applyNumberFormat="1" applyBorder="1"/>
    <xf numFmtId="2" fontId="0" fillId="0" borderId="0" xfId="0" applyNumberFormat="1" applyFill="1"/>
    <xf numFmtId="0" fontId="1" fillId="0" borderId="0" xfId="0" applyFont="1" applyAlignment="1">
      <alignment vertical="center"/>
    </xf>
    <xf numFmtId="0" fontId="0" fillId="0" borderId="0" xfId="0" applyBorder="1"/>
    <xf numFmtId="0" fontId="1" fillId="0" borderId="0" xfId="0" applyFont="1"/>
    <xf numFmtId="0" fontId="14" fillId="0" borderId="0" xfId="0" applyFont="1"/>
    <xf numFmtId="0" fontId="0" fillId="0" borderId="0" xfId="0" applyAlignment="1">
      <alignment vertical="center" wrapText="1"/>
    </xf>
    <xf numFmtId="2" fontId="0" fillId="0" borderId="0" xfId="0" applyNumberFormat="1" applyAlignment="1">
      <alignment vertical="center"/>
    </xf>
    <xf numFmtId="0" fontId="0" fillId="0" borderId="0" xfId="0" applyFill="1" applyAlignment="1">
      <alignment vertical="center"/>
    </xf>
    <xf numFmtId="2" fontId="0" fillId="0" borderId="0" xfId="0" applyNumberFormat="1"/>
    <xf numFmtId="164" fontId="0" fillId="0" borderId="0" xfId="0" applyNumberFormat="1"/>
    <xf numFmtId="1" fontId="0" fillId="0" borderId="0" xfId="0" applyNumberFormat="1"/>
    <xf numFmtId="0" fontId="0" fillId="0" borderId="0" xfId="0" applyAlignment="1">
      <alignment vertical="center"/>
    </xf>
    <xf numFmtId="1" fontId="0" fillId="0" borderId="0" xfId="0" applyNumberFormat="1" applyFill="1"/>
    <xf numFmtId="0" fontId="0" fillId="0" borderId="0" xfId="0" applyFont="1"/>
    <xf numFmtId="0" fontId="4" fillId="0" borderId="0" xfId="0" applyFont="1" applyFill="1" applyAlignment="1">
      <alignment horizontal="left" wrapText="1"/>
    </xf>
    <xf numFmtId="0" fontId="4" fillId="0" borderId="0" xfId="0" applyFont="1" applyFill="1" applyAlignment="1">
      <alignment horizontal="left" vertical="center" wrapText="1"/>
    </xf>
    <xf numFmtId="0" fontId="4" fillId="0" borderId="0" xfId="0" applyFont="1" applyAlignment="1">
      <alignment horizontal="left" vertical="top" wrapText="1"/>
    </xf>
    <xf numFmtId="0" fontId="4" fillId="0" borderId="0" xfId="0" applyFont="1" applyAlignment="1">
      <alignment horizontal="left" wrapText="1"/>
    </xf>
    <xf numFmtId="0" fontId="4" fillId="0" borderId="0" xfId="0" applyFont="1" applyAlignment="1">
      <alignment horizontal="left" vertical="center" wrapText="1"/>
    </xf>
    <xf numFmtId="1" fontId="4" fillId="0" borderId="0" xfId="0" applyNumberFormat="1" applyFont="1" applyFill="1" applyAlignment="1">
      <alignment vertical="center"/>
    </xf>
    <xf numFmtId="1" fontId="4" fillId="0" borderId="0" xfId="0" applyNumberFormat="1" applyFont="1" applyFill="1" applyAlignment="1">
      <alignment horizontal="left" wrapText="1"/>
    </xf>
    <xf numFmtId="2" fontId="4" fillId="0" borderId="0" xfId="0" applyNumberFormat="1" applyFont="1" applyFill="1" applyAlignment="1">
      <alignment horizontal="right" wrapText="1"/>
    </xf>
    <xf numFmtId="0" fontId="4" fillId="0" borderId="0" xfId="0" applyFont="1" applyFill="1" applyAlignment="1">
      <alignment vertical="top"/>
    </xf>
    <xf numFmtId="1" fontId="4" fillId="0" borderId="0" xfId="0" applyNumberFormat="1" applyFont="1" applyFill="1" applyAlignment="1">
      <alignment horizontal="left" vertical="top" wrapText="1"/>
    </xf>
    <xf numFmtId="2" fontId="4" fillId="0" borderId="0" xfId="0" applyNumberFormat="1" applyFont="1" applyFill="1" applyAlignment="1">
      <alignment horizontal="right" vertical="top" wrapText="1"/>
    </xf>
    <xf numFmtId="2" fontId="4" fillId="0" borderId="0" xfId="0" applyNumberFormat="1" applyFont="1" applyFill="1" applyAlignment="1"/>
    <xf numFmtId="1" fontId="4" fillId="0" borderId="0" xfId="0" applyNumberFormat="1" applyFont="1" applyFill="1" applyAlignment="1"/>
    <xf numFmtId="2" fontId="4" fillId="0" borderId="0" xfId="0" applyNumberFormat="1" applyFont="1" applyFill="1" applyAlignment="1">
      <alignment vertical="center"/>
    </xf>
    <xf numFmtId="2" fontId="4" fillId="0" borderId="0" xfId="0" applyNumberFormat="1" applyFont="1" applyFill="1" applyAlignment="1">
      <alignment vertical="top"/>
    </xf>
    <xf numFmtId="0" fontId="4" fillId="0" borderId="0" xfId="0" applyFont="1" applyAlignment="1">
      <alignment vertical="top" wrapText="1"/>
    </xf>
    <xf numFmtId="0" fontId="4" fillId="0" borderId="0" xfId="0" applyFont="1" applyFill="1" applyAlignment="1">
      <alignment vertical="top" wrapText="1"/>
    </xf>
    <xf numFmtId="0" fontId="10" fillId="0" borderId="0" xfId="0" applyFont="1" applyFill="1" applyBorder="1" applyAlignment="1">
      <alignment vertical="center" wrapText="1"/>
    </xf>
    <xf numFmtId="1" fontId="4" fillId="0" borderId="0" xfId="0" applyNumberFormat="1" applyFont="1" applyFill="1" applyAlignment="1">
      <alignment vertical="center" wrapText="1"/>
    </xf>
    <xf numFmtId="1" fontId="4" fillId="0" borderId="0" xfId="0" applyNumberFormat="1" applyFont="1" applyFill="1" applyAlignment="1">
      <alignment vertical="top" wrapText="1"/>
    </xf>
    <xf numFmtId="0" fontId="4" fillId="0" borderId="0" xfId="0" applyFont="1" applyAlignment="1">
      <alignment horizontal="left" vertical="top"/>
    </xf>
    <xf numFmtId="0" fontId="4" fillId="0" borderId="0" xfId="0" applyFont="1" applyFill="1" applyAlignment="1">
      <alignment vertical="center" wrapText="1"/>
    </xf>
    <xf numFmtId="0" fontId="10" fillId="0" borderId="0" xfId="0" applyFont="1" applyFill="1" applyBorder="1" applyAlignment="1">
      <alignment vertical="center"/>
    </xf>
    <xf numFmtId="0" fontId="11" fillId="0" borderId="0" xfId="0" applyFont="1" applyFill="1" applyBorder="1" applyAlignment="1">
      <alignment vertical="center"/>
    </xf>
    <xf numFmtId="0" fontId="11" fillId="0" borderId="0" xfId="0" applyFont="1" applyFill="1" applyBorder="1" applyAlignment="1">
      <alignment vertical="center" wrapText="1"/>
    </xf>
    <xf numFmtId="2" fontId="4" fillId="0" borderId="0" xfId="0" applyNumberFormat="1" applyFont="1" applyAlignment="1">
      <alignment horizontal="right" vertical="center"/>
    </xf>
    <xf numFmtId="2" fontId="4" fillId="0" borderId="0" xfId="0" applyNumberFormat="1" applyFont="1" applyAlignment="1">
      <alignment vertical="top"/>
    </xf>
    <xf numFmtId="0" fontId="4" fillId="0" borderId="0" xfId="0" applyFont="1" applyFill="1" applyAlignment="1">
      <alignment horizontal="left" vertical="center"/>
    </xf>
    <xf numFmtId="0" fontId="8" fillId="0" borderId="0" xfId="0" applyFont="1" applyFill="1" applyAlignment="1">
      <alignment vertical="center"/>
    </xf>
    <xf numFmtId="1" fontId="4" fillId="0" borderId="0" xfId="0" applyNumberFormat="1" applyFont="1" applyFill="1" applyAlignment="1">
      <alignment horizontal="left"/>
    </xf>
    <xf numFmtId="2" fontId="4" fillId="0" borderId="0" xfId="0" applyNumberFormat="1" applyFont="1" applyFill="1" applyAlignment="1">
      <alignment horizontal="right" vertical="center" wrapText="1"/>
    </xf>
    <xf numFmtId="1" fontId="4" fillId="0" borderId="0" xfId="0" applyNumberFormat="1" applyFont="1" applyFill="1" applyAlignment="1">
      <alignment wrapText="1"/>
    </xf>
    <xf numFmtId="0" fontId="3" fillId="0" borderId="0" xfId="0" applyFont="1" applyAlignment="1">
      <alignment vertical="center"/>
    </xf>
    <xf numFmtId="164" fontId="4" fillId="0" borderId="0" xfId="0" applyNumberFormat="1" applyFont="1" applyAlignment="1">
      <alignment vertical="center"/>
    </xf>
    <xf numFmtId="1" fontId="4" fillId="0" borderId="0" xfId="0" applyNumberFormat="1" applyFont="1" applyAlignment="1">
      <alignment vertical="center"/>
    </xf>
    <xf numFmtId="2" fontId="4" fillId="0" borderId="0" xfId="0" applyNumberFormat="1" applyFont="1" applyAlignment="1"/>
    <xf numFmtId="0" fontId="4" fillId="0" borderId="0" xfId="0" applyFont="1" applyFill="1" applyAlignment="1"/>
    <xf numFmtId="9" fontId="4" fillId="0" borderId="0" xfId="0" applyNumberFormat="1" applyFont="1" applyAlignment="1">
      <alignment horizontal="left" vertical="center"/>
    </xf>
    <xf numFmtId="165" fontId="4" fillId="0" borderId="0" xfId="0" applyNumberFormat="1" applyFont="1" applyAlignment="1">
      <alignment vertical="center"/>
    </xf>
    <xf numFmtId="0" fontId="0" fillId="0" borderId="4" xfId="0" applyFont="1" applyFill="1" applyBorder="1" applyAlignment="1">
      <alignment horizontal="center" vertical="center"/>
    </xf>
    <xf numFmtId="0" fontId="4" fillId="0" borderId="0" xfId="0" applyFont="1" applyFill="1" applyAlignment="1">
      <alignment horizontal="left" vertical="center" wrapText="1"/>
    </xf>
    <xf numFmtId="0" fontId="4" fillId="0" borderId="0" xfId="0" applyFont="1" applyAlignment="1">
      <alignment horizontal="left" vertical="center" wrapText="1"/>
    </xf>
    <xf numFmtId="0" fontId="4" fillId="0" borderId="0" xfId="0" applyFont="1" applyAlignment="1">
      <alignment horizontal="left" vertical="top" wrapText="1"/>
    </xf>
    <xf numFmtId="0" fontId="4" fillId="0" borderId="0" xfId="0" applyFont="1" applyAlignment="1">
      <alignment horizontal="left" vertical="center" wrapText="1"/>
    </xf>
    <xf numFmtId="0" fontId="4" fillId="0" borderId="0" xfId="0" applyFont="1" applyAlignment="1">
      <alignment horizontal="left" wrapText="1"/>
    </xf>
    <xf numFmtId="0" fontId="4" fillId="0" borderId="0" xfId="0" applyFont="1" applyFill="1" applyAlignment="1">
      <alignment horizontal="left" vertical="center" wrapText="1"/>
    </xf>
    <xf numFmtId="0" fontId="4" fillId="0" borderId="0" xfId="0" applyFont="1" applyFill="1" applyAlignment="1">
      <alignment horizontal="left" vertical="top" wrapText="1"/>
    </xf>
    <xf numFmtId="1" fontId="4" fillId="0" borderId="0" xfId="0" applyNumberFormat="1" applyFont="1" applyFill="1" applyAlignment="1">
      <alignment horizontal="left" vertical="top" wrapText="1"/>
    </xf>
    <xf numFmtId="0" fontId="4" fillId="0" borderId="0" xfId="0" applyFont="1" applyFill="1" applyAlignment="1">
      <alignment horizontal="left" wrapText="1"/>
    </xf>
    <xf numFmtId="1" fontId="4" fillId="0" borderId="0" xfId="0" applyNumberFormat="1" applyFont="1" applyAlignment="1">
      <alignment horizontal="left" wrapText="1"/>
    </xf>
    <xf numFmtId="0" fontId="4" fillId="0" borderId="0" xfId="0" applyFont="1" applyAlignment="1">
      <alignment horizontal="left" vertical="center" wrapText="1"/>
    </xf>
    <xf numFmtId="0" fontId="4" fillId="0" borderId="0" xfId="0" applyFont="1" applyFill="1" applyAlignment="1">
      <alignment horizontal="left" vertical="top" wrapText="1"/>
    </xf>
    <xf numFmtId="2" fontId="4" fillId="0" borderId="0" xfId="0" applyNumberFormat="1" applyFont="1" applyAlignment="1">
      <alignment horizontal="left"/>
    </xf>
    <xf numFmtId="0" fontId="4" fillId="0" borderId="0" xfId="0" applyFont="1" applyFill="1" applyAlignment="1">
      <alignment horizontal="left" vertical="center" wrapText="1"/>
    </xf>
    <xf numFmtId="0" fontId="4" fillId="0" borderId="0" xfId="0" applyFont="1" applyAlignment="1">
      <alignment horizontal="left" vertical="top" wrapText="1"/>
    </xf>
    <xf numFmtId="1" fontId="4" fillId="0" borderId="0" xfId="0" applyNumberFormat="1" applyFont="1" applyAlignment="1">
      <alignment horizontal="left" vertical="top" wrapText="1"/>
    </xf>
    <xf numFmtId="1" fontId="4" fillId="0" borderId="0" xfId="0" applyNumberFormat="1" applyFont="1" applyFill="1" applyAlignment="1">
      <alignment horizontal="left" vertical="center" wrapText="1"/>
    </xf>
    <xf numFmtId="0" fontId="4" fillId="0" borderId="0" xfId="0" applyFont="1" applyAlignment="1">
      <alignment horizontal="left" wrapText="1"/>
    </xf>
    <xf numFmtId="0" fontId="10" fillId="0" borderId="0" xfId="0" applyFont="1" applyFill="1" applyBorder="1" applyAlignment="1">
      <alignment horizontal="left" vertical="center" wrapText="1"/>
    </xf>
    <xf numFmtId="0" fontId="11" fillId="0" borderId="0" xfId="0" applyFont="1" applyFill="1" applyBorder="1" applyAlignment="1">
      <alignment horizontal="left" vertical="center"/>
    </xf>
    <xf numFmtId="0" fontId="11" fillId="0" borderId="0" xfId="0" applyFont="1" applyAlignment="1">
      <alignment horizontal="left"/>
    </xf>
    <xf numFmtId="0" fontId="11" fillId="0" borderId="0" xfId="0" applyFont="1" applyAlignment="1">
      <alignment horizontal="left" vertical="center"/>
    </xf>
    <xf numFmtId="0" fontId="4" fillId="0" borderId="0" xfId="0" applyFont="1" applyFill="1" applyAlignment="1">
      <alignment horizontal="left"/>
    </xf>
    <xf numFmtId="0" fontId="10" fillId="0" borderId="0" xfId="0" applyFont="1" applyAlignment="1">
      <alignment horizontal="left"/>
    </xf>
    <xf numFmtId="2" fontId="4" fillId="0" borderId="0" xfId="0" applyNumberFormat="1" applyFont="1" applyFill="1" applyAlignment="1">
      <alignment horizontal="left" vertical="top"/>
    </xf>
    <xf numFmtId="0" fontId="4" fillId="0" borderId="0" xfId="0" applyFont="1" applyFill="1" applyAlignment="1">
      <alignment horizontal="left" vertical="top"/>
    </xf>
    <xf numFmtId="0" fontId="4" fillId="0" borderId="0" xfId="0" applyFont="1" applyFill="1" applyBorder="1" applyAlignment="1">
      <alignment horizontal="left" vertical="center" wrapText="1"/>
    </xf>
    <xf numFmtId="0" fontId="3" fillId="0" borderId="0" xfId="0" applyFont="1" applyAlignment="1">
      <alignment vertical="center" wrapText="1"/>
    </xf>
    <xf numFmtId="0" fontId="10" fillId="0" borderId="0" xfId="0" applyFont="1" applyAlignment="1">
      <alignment horizontal="center" vertical="center"/>
    </xf>
    <xf numFmtId="0" fontId="3" fillId="0" borderId="0" xfId="0" applyFont="1" applyFill="1" applyAlignment="1">
      <alignment horizontal="center"/>
    </xf>
    <xf numFmtId="0" fontId="3" fillId="0" borderId="0" xfId="0" applyFont="1" applyAlignment="1">
      <alignment horizontal="center"/>
    </xf>
    <xf numFmtId="0" fontId="3" fillId="0" borderId="0" xfId="0" applyFont="1" applyAlignment="1">
      <alignment horizontal="center" vertical="center" wrapText="1"/>
    </xf>
    <xf numFmtId="0" fontId="3" fillId="0" borderId="0" xfId="0" applyFont="1" applyAlignment="1">
      <alignment horizontal="center" vertical="center"/>
    </xf>
    <xf numFmtId="0" fontId="4" fillId="0" borderId="0" xfId="0" applyFont="1" applyAlignment="1">
      <alignment horizontal="center"/>
    </xf>
    <xf numFmtId="2" fontId="4" fillId="0" borderId="0" xfId="0" applyNumberFormat="1" applyFont="1" applyAlignment="1">
      <alignment horizontal="center" vertical="center"/>
    </xf>
    <xf numFmtId="2" fontId="4" fillId="0" borderId="0" xfId="0" applyNumberFormat="1" applyFont="1" applyAlignment="1">
      <alignment horizontal="left" vertical="center"/>
    </xf>
    <xf numFmtId="9" fontId="4" fillId="0" borderId="0" xfId="0" applyNumberFormat="1" applyFont="1" applyAlignment="1">
      <alignment vertical="center"/>
    </xf>
    <xf numFmtId="1" fontId="4" fillId="0" borderId="0" xfId="0" applyNumberFormat="1" applyFont="1" applyFill="1" applyAlignment="1">
      <alignment vertical="top"/>
    </xf>
    <xf numFmtId="0" fontId="4" fillId="0" borderId="0" xfId="0" applyFont="1" applyAlignment="1">
      <alignment horizontal="center" vertical="center"/>
    </xf>
    <xf numFmtId="9" fontId="4" fillId="0" borderId="0" xfId="0" applyNumberFormat="1" applyFont="1" applyAlignment="1">
      <alignment horizontal="right" vertical="top"/>
    </xf>
    <xf numFmtId="0" fontId="3" fillId="0" borderId="0" xfId="0" applyFont="1" applyAlignment="1">
      <alignment horizontal="left"/>
    </xf>
    <xf numFmtId="0" fontId="3" fillId="0" borderId="0" xfId="0" applyFont="1" applyAlignment="1">
      <alignment horizontal="left" vertical="center" wrapText="1"/>
    </xf>
    <xf numFmtId="1" fontId="4" fillId="0" borderId="0" xfId="0" applyNumberFormat="1" applyFont="1" applyAlignment="1"/>
    <xf numFmtId="18" fontId="4" fillId="0" borderId="0" xfId="0" applyNumberFormat="1" applyFont="1" applyAlignment="1">
      <alignment horizontal="left" vertical="top"/>
    </xf>
    <xf numFmtId="18" fontId="4" fillId="0" borderId="0" xfId="0" applyNumberFormat="1" applyFont="1" applyAlignment="1">
      <alignment horizontal="left" vertical="center"/>
    </xf>
    <xf numFmtId="1" fontId="4" fillId="0" borderId="0" xfId="0" applyNumberFormat="1" applyFont="1" applyAlignment="1">
      <alignment vertical="top" wrapText="1"/>
    </xf>
    <xf numFmtId="166" fontId="4" fillId="0" borderId="0" xfId="0" applyNumberFormat="1" applyFont="1" applyAlignment="1">
      <alignment horizontal="right" wrapText="1"/>
    </xf>
    <xf numFmtId="0" fontId="16" fillId="0" borderId="0" xfId="0" applyFont="1" applyFill="1" applyBorder="1" applyAlignment="1">
      <alignment vertical="center" wrapText="1"/>
    </xf>
    <xf numFmtId="0" fontId="4" fillId="0" borderId="0" xfId="0" applyFont="1" applyFill="1" applyAlignment="1">
      <alignment horizontal="left" vertical="center" wrapText="1"/>
    </xf>
    <xf numFmtId="0" fontId="4" fillId="0" borderId="0" xfId="0" applyFont="1" applyAlignment="1">
      <alignment horizontal="left" vertical="center" wrapText="1"/>
    </xf>
    <xf numFmtId="0" fontId="4" fillId="0" borderId="0" xfId="0" applyFont="1" applyFill="1" applyAlignment="1">
      <alignment horizontal="left" vertical="center" wrapText="1"/>
    </xf>
    <xf numFmtId="0" fontId="10" fillId="0" borderId="0" xfId="0" applyFont="1" applyAlignment="1">
      <alignment horizontal="center" vertical="top"/>
    </xf>
    <xf numFmtId="164" fontId="4" fillId="0" borderId="0" xfId="0" applyNumberFormat="1" applyFont="1" applyAlignment="1"/>
    <xf numFmtId="0" fontId="4" fillId="0" borderId="0" xfId="0" applyFont="1" applyAlignment="1">
      <alignment horizontal="left" wrapText="1"/>
    </xf>
    <xf numFmtId="0" fontId="4" fillId="0" borderId="0" xfId="0" applyFont="1" applyAlignment="1">
      <alignment horizontal="left" vertical="top" wrapText="1"/>
    </xf>
    <xf numFmtId="0" fontId="3" fillId="0" borderId="0" xfId="0" applyFont="1" applyFill="1" applyBorder="1" applyAlignment="1">
      <alignment vertical="center"/>
    </xf>
    <xf numFmtId="0" fontId="3" fillId="0" borderId="0" xfId="0" applyFont="1" applyAlignment="1">
      <alignment horizontal="center" vertical="top"/>
    </xf>
    <xf numFmtId="0" fontId="7" fillId="0" borderId="0" xfId="0" applyFont="1" applyFill="1" applyAlignment="1">
      <alignment vertical="top"/>
    </xf>
    <xf numFmtId="0" fontId="3" fillId="0" borderId="0" xfId="0" applyFont="1" applyFill="1" applyAlignment="1">
      <alignment horizontal="left" vertical="top" wrapText="1"/>
    </xf>
    <xf numFmtId="0" fontId="0" fillId="0" borderId="0" xfId="0" applyAlignment="1">
      <alignment horizontal="right"/>
    </xf>
    <xf numFmtId="2" fontId="0" fillId="0" borderId="4" xfId="0" applyNumberFormat="1" applyBorder="1" applyAlignment="1">
      <alignment horizontal="center"/>
    </xf>
    <xf numFmtId="0" fontId="4" fillId="0" borderId="0" xfId="0" applyFont="1" applyAlignment="1">
      <alignment horizontal="left" vertical="top" wrapText="1"/>
    </xf>
    <xf numFmtId="0" fontId="1" fillId="0" borderId="9" xfId="0" applyFont="1" applyFill="1" applyBorder="1" applyAlignment="1">
      <alignment horizontal="center" vertical="center" wrapText="1"/>
    </xf>
    <xf numFmtId="0" fontId="4" fillId="0" borderId="0" xfId="0" applyFont="1" applyFill="1" applyAlignment="1">
      <alignment horizontal="left" vertical="center" wrapText="1"/>
    </xf>
    <xf numFmtId="0" fontId="4" fillId="0" borderId="0" xfId="0" applyFont="1" applyFill="1" applyAlignment="1">
      <alignment horizontal="left" vertical="top" wrapText="1"/>
    </xf>
    <xf numFmtId="0" fontId="3" fillId="0" borderId="0" xfId="0" applyFont="1" applyFill="1" applyAlignment="1">
      <alignment horizontal="center" vertical="center"/>
    </xf>
    <xf numFmtId="1" fontId="4" fillId="0" borderId="0" xfId="0" applyNumberFormat="1" applyFont="1" applyFill="1" applyAlignment="1">
      <alignment horizontal="left" vertical="center"/>
    </xf>
    <xf numFmtId="2" fontId="4" fillId="0" borderId="0" xfId="0" applyNumberFormat="1" applyFont="1" applyFill="1" applyBorder="1" applyAlignment="1"/>
    <xf numFmtId="165" fontId="4" fillId="0" borderId="0" xfId="0" applyNumberFormat="1" applyFont="1"/>
    <xf numFmtId="18" fontId="4" fillId="0" borderId="0" xfId="0" applyNumberFormat="1" applyFont="1" applyFill="1" applyAlignment="1">
      <alignment horizontal="left" vertical="center"/>
    </xf>
    <xf numFmtId="18" fontId="4" fillId="0" borderId="0" xfId="0" applyNumberFormat="1" applyFont="1" applyFill="1" applyAlignment="1">
      <alignment horizontal="left" vertical="top"/>
    </xf>
    <xf numFmtId="0" fontId="4" fillId="0" borderId="0" xfId="0" applyFont="1" applyAlignment="1">
      <alignment horizontal="left" vertical="center" wrapText="1"/>
    </xf>
    <xf numFmtId="0" fontId="4" fillId="0" borderId="0" xfId="0" applyFont="1" applyFill="1" applyAlignment="1">
      <alignment horizontal="left" vertical="top" wrapText="1"/>
    </xf>
    <xf numFmtId="2" fontId="0" fillId="0" borderId="0" xfId="0" applyNumberFormat="1" applyAlignment="1">
      <alignment horizontal="right"/>
    </xf>
    <xf numFmtId="0" fontId="7" fillId="0" borderId="0" xfId="0" applyFont="1" applyFill="1" applyAlignment="1"/>
    <xf numFmtId="0" fontId="20" fillId="0" borderId="0" xfId="0" applyFont="1" applyFill="1" applyAlignment="1"/>
    <xf numFmtId="164" fontId="4" fillId="0" borderId="0" xfId="0" applyNumberFormat="1" applyFont="1" applyFill="1" applyBorder="1" applyAlignment="1"/>
    <xf numFmtId="0" fontId="1" fillId="0" borderId="1" xfId="0" applyFont="1" applyBorder="1" applyAlignment="1">
      <alignment horizontal="center" vertical="center" wrapText="1"/>
    </xf>
    <xf numFmtId="0" fontId="0" fillId="0" borderId="1" xfId="0" applyBorder="1" applyAlignment="1">
      <alignment horizontal="center" vertical="center"/>
    </xf>
    <xf numFmtId="0" fontId="4" fillId="0" borderId="0" xfId="0" applyFont="1" applyAlignment="1">
      <alignment horizontal="center" vertical="top"/>
    </xf>
    <xf numFmtId="2" fontId="4" fillId="0" borderId="0" xfId="0" applyNumberFormat="1" applyFont="1" applyFill="1" applyBorder="1" applyAlignment="1">
      <alignment vertical="center"/>
    </xf>
    <xf numFmtId="0" fontId="4" fillId="0" borderId="0" xfId="0" applyFont="1" applyAlignment="1">
      <alignment horizontal="left" vertical="center" wrapText="1"/>
    </xf>
    <xf numFmtId="166" fontId="4" fillId="0" borderId="0" xfId="0" applyNumberFormat="1" applyFont="1" applyFill="1"/>
    <xf numFmtId="2" fontId="0" fillId="0" borderId="1" xfId="0" applyNumberFormat="1" applyFill="1" applyBorder="1" applyAlignment="1">
      <alignment horizontal="center"/>
    </xf>
    <xf numFmtId="0" fontId="1" fillId="0" borderId="4" xfId="0" applyFont="1" applyBorder="1" applyAlignment="1">
      <alignment horizontal="center" vertical="center" wrapText="1"/>
    </xf>
    <xf numFmtId="2" fontId="0" fillId="0" borderId="4" xfId="0" applyNumberFormat="1" applyFont="1" applyBorder="1" applyAlignment="1">
      <alignment horizontal="center" vertical="center" wrapText="1"/>
    </xf>
    <xf numFmtId="0" fontId="4" fillId="0" borderId="0" xfId="0" applyFont="1" applyFill="1" applyAlignment="1">
      <alignment horizontal="right" vertical="center"/>
    </xf>
    <xf numFmtId="2" fontId="4" fillId="0" borderId="0" xfId="0" applyNumberFormat="1" applyFont="1" applyFill="1" applyBorder="1" applyAlignment="1">
      <alignment horizontal="center"/>
    </xf>
    <xf numFmtId="0" fontId="3" fillId="0" borderId="0" xfId="0" applyFont="1" applyFill="1" applyAlignment="1">
      <alignment horizontal="left" vertical="top" wrapText="1"/>
    </xf>
    <xf numFmtId="0" fontId="4" fillId="0" borderId="0" xfId="0" applyFont="1" applyFill="1" applyAlignment="1">
      <alignment horizontal="left" vertical="center" wrapText="1"/>
    </xf>
    <xf numFmtId="0" fontId="4" fillId="0" borderId="0" xfId="0" applyFont="1" applyAlignment="1">
      <alignment horizontal="left" vertical="center" wrapText="1"/>
    </xf>
    <xf numFmtId="0" fontId="4" fillId="0" borderId="0" xfId="0" applyFont="1" applyFill="1" applyAlignment="1">
      <alignment horizontal="right"/>
    </xf>
    <xf numFmtId="0" fontId="4" fillId="0" borderId="0" xfId="0" applyFont="1" applyFill="1" applyAlignment="1">
      <alignment horizontal="left" vertical="top" wrapText="1"/>
    </xf>
    <xf numFmtId="0" fontId="4" fillId="0" borderId="0" xfId="0" applyFont="1" applyAlignment="1">
      <alignment horizontal="left" vertical="top" wrapText="1"/>
    </xf>
    <xf numFmtId="0" fontId="10" fillId="0" borderId="0" xfId="0" applyFont="1" applyAlignment="1">
      <alignment horizontal="left" vertical="center" wrapText="1"/>
    </xf>
    <xf numFmtId="1" fontId="4" fillId="0" borderId="0" xfId="0" applyNumberFormat="1" applyFont="1" applyFill="1" applyAlignment="1">
      <alignment horizontal="left" wrapText="1"/>
    </xf>
    <xf numFmtId="1" fontId="4" fillId="0" borderId="0" xfId="0" applyNumberFormat="1" applyFont="1" applyAlignment="1">
      <alignment horizontal="left" vertical="top" wrapText="1"/>
    </xf>
    <xf numFmtId="0" fontId="3" fillId="0" borderId="0" xfId="0" applyFont="1" applyAlignment="1">
      <alignment horizontal="left" vertical="center" wrapText="1"/>
    </xf>
    <xf numFmtId="2" fontId="4" fillId="0" borderId="0" xfId="0" applyNumberFormat="1" applyFont="1" applyAlignment="1">
      <alignment horizontal="left" vertical="center" wrapText="1"/>
    </xf>
    <xf numFmtId="1" fontId="4" fillId="0" borderId="0" xfId="0" applyNumberFormat="1" applyFont="1" applyFill="1" applyAlignment="1">
      <alignment horizontal="left" vertical="top" wrapText="1"/>
    </xf>
    <xf numFmtId="164" fontId="4" fillId="0" borderId="0" xfId="0" applyNumberFormat="1" applyFont="1" applyFill="1" applyAlignment="1">
      <alignment horizontal="right"/>
    </xf>
    <xf numFmtId="164" fontId="4" fillId="0" borderId="0" xfId="0" applyNumberFormat="1" applyFont="1" applyFill="1" applyAlignment="1">
      <alignment horizontal="right" vertical="center"/>
    </xf>
    <xf numFmtId="0" fontId="0" fillId="0" borderId="4" xfId="0" applyFont="1" applyBorder="1" applyAlignment="1">
      <alignment horizontal="center" vertical="center"/>
    </xf>
    <xf numFmtId="0" fontId="0" fillId="0" borderId="5" xfId="0" applyFont="1" applyBorder="1" applyAlignment="1">
      <alignment horizontal="center" vertical="center"/>
    </xf>
    <xf numFmtId="2" fontId="0" fillId="0" borderId="4" xfId="0" applyNumberFormat="1" applyFont="1" applyBorder="1" applyAlignment="1">
      <alignment horizontal="center" vertical="center" wrapText="1"/>
    </xf>
    <xf numFmtId="2" fontId="0" fillId="0" borderId="6" xfId="0" applyNumberFormat="1" applyFont="1" applyBorder="1" applyAlignment="1">
      <alignment horizontal="center" vertical="center" wrapText="1"/>
    </xf>
    <xf numFmtId="2" fontId="0" fillId="0" borderId="5" xfId="0" applyNumberFormat="1"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4" xfId="0" applyFont="1" applyBorder="1" applyAlignment="1">
      <alignment horizontal="center" vertical="center" wrapText="1"/>
    </xf>
    <xf numFmtId="0" fontId="0" fillId="0" borderId="6" xfId="0" applyFont="1" applyBorder="1" applyAlignment="1">
      <alignment horizontal="center"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1" fillId="0" borderId="1" xfId="0" applyFont="1" applyBorder="1" applyAlignment="1">
      <alignment horizontal="center" vertical="center" wrapText="1"/>
    </xf>
    <xf numFmtId="0" fontId="2" fillId="0" borderId="1" xfId="0" applyFont="1" applyBorder="1" applyAlignment="1">
      <alignment horizontal="center" vertical="center"/>
    </xf>
    <xf numFmtId="0" fontId="1" fillId="0" borderId="6" xfId="0" applyFont="1" applyBorder="1" applyAlignment="1">
      <alignment horizontal="center" vertical="center" wrapText="1"/>
    </xf>
    <xf numFmtId="2" fontId="0" fillId="0" borderId="4" xfId="0" applyNumberFormat="1" applyBorder="1" applyAlignment="1">
      <alignment horizontal="center"/>
    </xf>
    <xf numFmtId="2" fontId="0" fillId="0" borderId="5" xfId="0" applyNumberFormat="1" applyBorder="1" applyAlignment="1">
      <alignment horizontal="center"/>
    </xf>
    <xf numFmtId="0" fontId="1" fillId="0" borderId="1" xfId="0" applyFont="1" applyBorder="1" applyAlignment="1">
      <alignment horizontal="center" vertic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166" fontId="0" fillId="0" borderId="1" xfId="0" applyNumberFormat="1" applyBorder="1" applyAlignment="1">
      <alignment horizontal="center" vertical="center"/>
    </xf>
    <xf numFmtId="0" fontId="0" fillId="0" borderId="0" xfId="0" applyAlignment="1">
      <alignment horizontal="left" wrapText="1"/>
    </xf>
    <xf numFmtId="0" fontId="0" fillId="0" borderId="0" xfId="0"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29"/>
  <sheetViews>
    <sheetView tabSelected="1" view="pageBreakPreview" topLeftCell="A82" zoomScale="142" zoomScaleNormal="142" zoomScaleSheetLayoutView="142" workbookViewId="0">
      <selection activeCell="O20" sqref="O20"/>
    </sheetView>
  </sheetViews>
  <sheetFormatPr defaultRowHeight="15.75" x14ac:dyDescent="0.25"/>
  <cols>
    <col min="1" max="1" width="4.7109375" style="155" customWidth="1"/>
    <col min="2" max="2" width="9.5703125" style="13" customWidth="1"/>
    <col min="3" max="4" width="6.5703125" style="13" customWidth="1"/>
    <col min="5" max="5" width="4" style="13" customWidth="1"/>
    <col min="6" max="6" width="5.7109375" style="13" customWidth="1"/>
    <col min="7" max="7" width="7.85546875" style="13" customWidth="1"/>
    <col min="8" max="8" width="1.5703125" style="30" customWidth="1"/>
    <col min="9" max="9" width="2.5703125" style="30" customWidth="1"/>
    <col min="10" max="10" width="13.7109375" style="13" customWidth="1"/>
    <col min="11" max="11" width="9.28515625" style="13" customWidth="1"/>
    <col min="12" max="12" width="10.85546875" style="13" customWidth="1"/>
    <col min="13" max="13" width="17.28515625" style="13" customWidth="1"/>
    <col min="14" max="14" width="15.42578125" style="13" customWidth="1"/>
    <col min="15" max="15" width="14" style="13" customWidth="1"/>
    <col min="16" max="16" width="10" style="13" customWidth="1"/>
    <col min="17" max="17" width="6.28515625" style="13" customWidth="1"/>
    <col min="18" max="18" width="7.140625" style="13" customWidth="1"/>
    <col min="19" max="19" width="11.140625" style="13" customWidth="1"/>
    <col min="20" max="20" width="11.5703125" style="13" customWidth="1"/>
    <col min="21" max="21" width="10.42578125" style="35" customWidth="1"/>
    <col min="22" max="22" width="9.7109375" style="13" customWidth="1"/>
    <col min="23" max="23" width="9" style="16" customWidth="1"/>
    <col min="24" max="24" width="7.28515625" style="13" customWidth="1"/>
    <col min="25" max="25" width="7.7109375" style="16" customWidth="1"/>
    <col min="26" max="26" width="8.85546875" style="13" customWidth="1"/>
    <col min="27" max="28" width="8.28515625" style="13" customWidth="1"/>
    <col min="29" max="29" width="12" style="13" customWidth="1"/>
    <col min="30" max="30" width="8.85546875" style="13" customWidth="1"/>
    <col min="31" max="31" width="9.7109375" style="13" customWidth="1"/>
    <col min="32" max="32" width="8.140625" style="13" customWidth="1"/>
    <col min="33" max="16384" width="9.140625" style="13"/>
  </cols>
  <sheetData>
    <row r="1" spans="1:21" s="16" customFormat="1" ht="22.5" customHeight="1" x14ac:dyDescent="0.25">
      <c r="A1" s="154"/>
      <c r="B1" s="107" t="s">
        <v>190</v>
      </c>
      <c r="C1" s="102"/>
      <c r="D1" s="102"/>
      <c r="E1" s="102"/>
      <c r="F1" s="102"/>
      <c r="G1" s="102"/>
      <c r="H1" s="102"/>
      <c r="I1" s="102"/>
      <c r="J1" s="102"/>
      <c r="K1" s="102"/>
      <c r="L1" s="102"/>
      <c r="M1" s="102"/>
      <c r="N1" s="102"/>
      <c r="O1" s="102"/>
      <c r="P1" s="36"/>
      <c r="Q1" s="36"/>
      <c r="U1" s="35"/>
    </row>
    <row r="2" spans="1:21" ht="25.5" customHeight="1" x14ac:dyDescent="0.25">
      <c r="B2" s="180" t="s">
        <v>68</v>
      </c>
      <c r="C2" s="172"/>
      <c r="D2" s="172"/>
      <c r="E2" s="172"/>
      <c r="F2" s="172"/>
      <c r="G2" s="172"/>
      <c r="H2" s="172"/>
      <c r="I2" s="172"/>
      <c r="J2" s="172"/>
      <c r="K2" s="172"/>
      <c r="L2" s="172"/>
      <c r="M2" s="172"/>
      <c r="N2" s="172"/>
      <c r="O2" s="102"/>
      <c r="P2" s="36"/>
      <c r="Q2" s="36"/>
    </row>
    <row r="3" spans="1:21" ht="10.5" customHeight="1" x14ac:dyDescent="0.25">
      <c r="B3" s="180"/>
      <c r="C3" s="172"/>
      <c r="D3" s="172"/>
      <c r="E3" s="172"/>
      <c r="F3" s="172"/>
      <c r="G3" s="172"/>
      <c r="H3" s="172"/>
      <c r="I3" s="172"/>
      <c r="J3" s="172"/>
      <c r="K3" s="172"/>
      <c r="L3" s="172"/>
      <c r="M3" s="172"/>
      <c r="N3" s="172"/>
      <c r="O3" s="102"/>
      <c r="P3" s="36"/>
      <c r="Q3" s="36"/>
    </row>
    <row r="4" spans="1:21" ht="23.25" customHeight="1" x14ac:dyDescent="0.25">
      <c r="B4" s="107" t="s">
        <v>69</v>
      </c>
      <c r="C4" s="102"/>
      <c r="D4" s="102"/>
      <c r="E4" s="102"/>
      <c r="F4" s="102"/>
      <c r="G4" s="102"/>
      <c r="H4" s="143"/>
      <c r="I4" s="143"/>
      <c r="J4" s="102"/>
      <c r="K4" s="102"/>
      <c r="L4" s="102"/>
      <c r="M4" s="102"/>
      <c r="N4" s="102"/>
      <c r="O4" s="102"/>
      <c r="P4" s="36"/>
      <c r="Q4" s="36"/>
    </row>
    <row r="5" spans="1:21" ht="20.25" customHeight="1" x14ac:dyDescent="0.25">
      <c r="B5" s="108" t="s">
        <v>70</v>
      </c>
      <c r="C5" s="108"/>
      <c r="D5" s="108"/>
      <c r="E5" s="108"/>
      <c r="F5" s="108"/>
      <c r="G5" s="108"/>
      <c r="H5" s="144"/>
      <c r="I5" s="144"/>
      <c r="J5" s="108"/>
      <c r="K5" s="108"/>
      <c r="L5" s="108"/>
      <c r="M5" s="108"/>
      <c r="N5" s="108"/>
      <c r="O5" s="108"/>
      <c r="P5" s="36"/>
      <c r="Q5" s="36"/>
    </row>
    <row r="6" spans="1:21" ht="20.25" customHeight="1" x14ac:dyDescent="0.25">
      <c r="B6" s="108" t="s">
        <v>191</v>
      </c>
      <c r="C6" s="109"/>
      <c r="D6" s="109"/>
      <c r="E6" s="109"/>
      <c r="F6" s="109"/>
      <c r="G6" s="109"/>
      <c r="H6" s="45"/>
      <c r="I6" s="45"/>
      <c r="J6" s="109"/>
      <c r="K6" s="109"/>
      <c r="L6" s="109"/>
      <c r="M6" s="109"/>
      <c r="N6" s="109"/>
      <c r="O6" s="109"/>
      <c r="P6" s="36"/>
      <c r="Q6" s="36"/>
    </row>
    <row r="7" spans="1:21" ht="13.5" customHeight="1" x14ac:dyDescent="0.25">
      <c r="B7" s="151"/>
      <c r="C7" s="151"/>
      <c r="D7" s="151"/>
      <c r="E7" s="151"/>
      <c r="F7" s="151"/>
      <c r="G7" s="151"/>
      <c r="H7" s="151"/>
      <c r="I7" s="151"/>
      <c r="J7" s="151"/>
      <c r="K7" s="45"/>
      <c r="L7" s="45"/>
      <c r="M7" s="45"/>
      <c r="N7" s="45"/>
      <c r="O7" s="45"/>
      <c r="P7" s="36"/>
      <c r="Q7" s="36"/>
    </row>
    <row r="8" spans="1:21" ht="18" customHeight="1" x14ac:dyDescent="0.25">
      <c r="A8" s="156">
        <v>2.1</v>
      </c>
      <c r="B8" s="117" t="s">
        <v>194</v>
      </c>
      <c r="C8" s="14"/>
      <c r="D8" s="14"/>
      <c r="E8" s="14"/>
      <c r="F8" s="14"/>
      <c r="G8" s="14"/>
      <c r="K8" s="48"/>
    </row>
    <row r="9" spans="1:21" ht="15.75" customHeight="1" x14ac:dyDescent="0.25">
      <c r="A9" s="153"/>
      <c r="B9" s="38"/>
      <c r="C9" s="39"/>
      <c r="D9" s="39"/>
      <c r="E9" s="39"/>
      <c r="F9" s="39"/>
      <c r="G9" s="39"/>
      <c r="H9" s="145"/>
      <c r="I9" s="145"/>
    </row>
    <row r="10" spans="1:21" ht="21" customHeight="1" x14ac:dyDescent="0.25">
      <c r="A10" s="153" t="s">
        <v>197</v>
      </c>
      <c r="B10" s="37" t="s">
        <v>201</v>
      </c>
      <c r="C10" s="14"/>
      <c r="D10" s="39"/>
      <c r="E10" s="39"/>
      <c r="F10" s="39"/>
      <c r="G10" s="39"/>
      <c r="H10" s="145"/>
      <c r="I10" s="145"/>
    </row>
    <row r="11" spans="1:21" ht="17.25" customHeight="1" x14ac:dyDescent="0.25">
      <c r="A11" s="153"/>
      <c r="B11" s="14" t="s">
        <v>175</v>
      </c>
      <c r="C11" s="39"/>
      <c r="D11" s="39"/>
      <c r="E11" s="39"/>
      <c r="F11" s="39"/>
      <c r="G11" s="39"/>
      <c r="H11" s="146" t="s">
        <v>192</v>
      </c>
      <c r="I11" s="146"/>
      <c r="J11" s="14">
        <v>82</v>
      </c>
      <c r="K11" s="14" t="s">
        <v>20</v>
      </c>
      <c r="L11" s="14"/>
      <c r="M11" s="14"/>
      <c r="N11" s="14"/>
    </row>
    <row r="12" spans="1:21" ht="16.5" customHeight="1" x14ac:dyDescent="0.25">
      <c r="A12" s="153"/>
      <c r="B12" s="14" t="s">
        <v>2</v>
      </c>
      <c r="C12" s="39"/>
      <c r="D12" s="39"/>
      <c r="E12" s="39"/>
      <c r="F12" s="39"/>
      <c r="G12" s="39"/>
      <c r="H12" s="146" t="s">
        <v>192</v>
      </c>
      <c r="I12" s="146"/>
      <c r="J12" s="14">
        <v>400</v>
      </c>
      <c r="K12" s="14" t="s">
        <v>195</v>
      </c>
      <c r="L12" s="14">
        <f>J12*J11</f>
        <v>32800</v>
      </c>
      <c r="M12" s="14" t="s">
        <v>10</v>
      </c>
    </row>
    <row r="13" spans="1:21" ht="18" customHeight="1" x14ac:dyDescent="0.25">
      <c r="A13" s="153"/>
      <c r="B13" s="14" t="s">
        <v>64</v>
      </c>
      <c r="C13" s="14"/>
      <c r="D13" s="14"/>
      <c r="E13" s="14"/>
      <c r="F13" s="14"/>
      <c r="G13" s="14"/>
      <c r="H13" s="146" t="s">
        <v>192</v>
      </c>
      <c r="I13" s="146"/>
      <c r="J13" s="14">
        <v>350</v>
      </c>
      <c r="K13" s="14" t="s">
        <v>195</v>
      </c>
      <c r="L13" s="14">
        <f>J13*J11</f>
        <v>28700</v>
      </c>
      <c r="M13" s="14" t="s">
        <v>10</v>
      </c>
    </row>
    <row r="14" spans="1:21" ht="17.25" customHeight="1" x14ac:dyDescent="0.25">
      <c r="A14" s="153"/>
      <c r="B14" s="14" t="s">
        <v>4</v>
      </c>
      <c r="C14" s="14"/>
      <c r="D14" s="14"/>
      <c r="E14" s="14"/>
      <c r="F14" s="14"/>
      <c r="G14" s="14"/>
      <c r="H14" s="146" t="s">
        <v>192</v>
      </c>
      <c r="I14" s="146"/>
      <c r="J14" s="14">
        <v>7</v>
      </c>
      <c r="K14" s="14" t="s">
        <v>195</v>
      </c>
      <c r="L14" s="14">
        <f>J14*J11</f>
        <v>574</v>
      </c>
      <c r="M14" s="14" t="s">
        <v>10</v>
      </c>
    </row>
    <row r="15" spans="1:21" ht="18" customHeight="1" x14ac:dyDescent="0.25">
      <c r="A15" s="153"/>
      <c r="B15" s="14" t="s">
        <v>3</v>
      </c>
      <c r="C15" s="14"/>
      <c r="D15" s="14"/>
      <c r="E15" s="14"/>
      <c r="F15" s="14"/>
      <c r="G15" s="14"/>
      <c r="H15" s="146" t="s">
        <v>192</v>
      </c>
      <c r="I15" s="146"/>
      <c r="J15" s="14">
        <v>10</v>
      </c>
      <c r="K15" s="14" t="s">
        <v>195</v>
      </c>
      <c r="L15" s="14">
        <f>J15*J11</f>
        <v>820</v>
      </c>
      <c r="M15" s="14" t="s">
        <v>10</v>
      </c>
    </row>
    <row r="16" spans="1:21" ht="17.25" customHeight="1" x14ac:dyDescent="0.25">
      <c r="A16" s="153"/>
      <c r="B16" s="14" t="s">
        <v>145</v>
      </c>
      <c r="C16" s="14"/>
      <c r="D16" s="14"/>
      <c r="E16" s="14"/>
      <c r="F16" s="14"/>
      <c r="G16" s="14"/>
      <c r="H16" s="146" t="s">
        <v>192</v>
      </c>
      <c r="I16" s="146"/>
      <c r="J16" s="14">
        <v>50</v>
      </c>
      <c r="K16" s="14" t="s">
        <v>195</v>
      </c>
      <c r="L16" s="14">
        <f>J16*J11</f>
        <v>4100</v>
      </c>
      <c r="M16" s="14" t="s">
        <v>10</v>
      </c>
    </row>
    <row r="17" spans="1:13" ht="17.25" customHeight="1" x14ac:dyDescent="0.25">
      <c r="A17" s="153"/>
      <c r="B17" s="14" t="s">
        <v>5</v>
      </c>
      <c r="C17" s="14"/>
      <c r="D17" s="14"/>
      <c r="E17" s="14"/>
      <c r="F17" s="14"/>
      <c r="G17" s="14"/>
      <c r="H17" s="146" t="s">
        <v>192</v>
      </c>
      <c r="I17" s="146"/>
      <c r="J17" s="14">
        <f>J15+J16</f>
        <v>60</v>
      </c>
      <c r="K17" s="14" t="s">
        <v>195</v>
      </c>
      <c r="L17" s="14">
        <f>L15+L16</f>
        <v>4920</v>
      </c>
      <c r="M17" s="14" t="s">
        <v>10</v>
      </c>
    </row>
    <row r="18" spans="1:13" ht="17.25" customHeight="1" x14ac:dyDescent="0.25">
      <c r="A18" s="153"/>
      <c r="B18" s="14" t="s">
        <v>176</v>
      </c>
      <c r="C18" s="14"/>
      <c r="D18" s="14"/>
      <c r="E18" s="14"/>
      <c r="F18" s="14"/>
      <c r="G18" s="14"/>
      <c r="H18" s="146" t="s">
        <v>192</v>
      </c>
      <c r="I18" s="146"/>
      <c r="J18" s="14">
        <v>280</v>
      </c>
      <c r="K18" s="14" t="s">
        <v>195</v>
      </c>
      <c r="L18" s="14">
        <f>J18*J11</f>
        <v>22960</v>
      </c>
      <c r="M18" s="14" t="s">
        <v>10</v>
      </c>
    </row>
    <row r="19" spans="1:13" ht="17.25" customHeight="1" x14ac:dyDescent="0.25">
      <c r="A19" s="153"/>
      <c r="B19" s="215" t="s">
        <v>304</v>
      </c>
      <c r="C19" s="215"/>
      <c r="D19" s="215"/>
      <c r="E19" s="215"/>
      <c r="F19" s="215"/>
      <c r="G19" s="215"/>
      <c r="H19" s="146" t="s">
        <v>192</v>
      </c>
      <c r="I19" s="146"/>
      <c r="J19" s="14" t="s">
        <v>291</v>
      </c>
      <c r="K19" s="14"/>
      <c r="L19" s="14"/>
      <c r="M19" s="14"/>
    </row>
    <row r="20" spans="1:13" ht="18" customHeight="1" x14ac:dyDescent="0.25">
      <c r="A20" s="153"/>
      <c r="G20" s="128"/>
      <c r="H20" s="146" t="s">
        <v>192</v>
      </c>
      <c r="I20" s="146"/>
      <c r="J20" s="21">
        <f>J18/J12</f>
        <v>0.7</v>
      </c>
      <c r="K20" s="14"/>
    </row>
    <row r="21" spans="1:13" ht="17.25" customHeight="1" x14ac:dyDescent="0.25">
      <c r="A21" s="153"/>
      <c r="B21" s="14"/>
      <c r="C21" s="14"/>
      <c r="D21" s="14"/>
      <c r="E21" s="14"/>
      <c r="F21" s="14"/>
      <c r="G21" s="14"/>
    </row>
    <row r="22" spans="1:13" ht="25.5" customHeight="1" x14ac:dyDescent="0.25">
      <c r="A22" s="153" t="s">
        <v>197</v>
      </c>
      <c r="B22" s="37" t="s">
        <v>396</v>
      </c>
      <c r="C22" s="14"/>
      <c r="D22" s="14"/>
      <c r="E22" s="14"/>
      <c r="F22" s="14"/>
      <c r="G22" s="14"/>
    </row>
    <row r="23" spans="1:13" ht="18" customHeight="1" x14ac:dyDescent="0.25">
      <c r="B23" s="13" t="s">
        <v>147</v>
      </c>
      <c r="J23" s="16"/>
    </row>
    <row r="24" spans="1:13" ht="18" customHeight="1" x14ac:dyDescent="0.25">
      <c r="B24" s="13" t="s">
        <v>27</v>
      </c>
      <c r="H24" s="30" t="s">
        <v>192</v>
      </c>
      <c r="J24" s="13" t="s">
        <v>293</v>
      </c>
    </row>
    <row r="25" spans="1:13" ht="18" customHeight="1" x14ac:dyDescent="0.25">
      <c r="H25" s="30" t="s">
        <v>192</v>
      </c>
      <c r="J25" s="13" t="s">
        <v>292</v>
      </c>
    </row>
    <row r="26" spans="1:13" ht="18" customHeight="1" x14ac:dyDescent="0.25">
      <c r="H26" s="30" t="s">
        <v>192</v>
      </c>
      <c r="J26" s="16">
        <f>0.6*L12</f>
        <v>19680</v>
      </c>
      <c r="K26" s="13" t="s">
        <v>10</v>
      </c>
    </row>
    <row r="27" spans="1:13" ht="18" customHeight="1" x14ac:dyDescent="0.25">
      <c r="B27" s="13" t="s">
        <v>224</v>
      </c>
      <c r="H27" s="30" t="s">
        <v>192</v>
      </c>
      <c r="J27" s="16">
        <v>1.03</v>
      </c>
    </row>
    <row r="28" spans="1:13" ht="18" customHeight="1" x14ac:dyDescent="0.25">
      <c r="B28" s="13" t="s">
        <v>225</v>
      </c>
      <c r="H28" s="30" t="s">
        <v>192</v>
      </c>
      <c r="J28" s="16">
        <v>4</v>
      </c>
      <c r="K28" s="13" t="s">
        <v>47</v>
      </c>
    </row>
    <row r="29" spans="1:13" ht="17.25" customHeight="1" x14ac:dyDescent="0.25">
      <c r="B29" s="13" t="s">
        <v>397</v>
      </c>
      <c r="H29" s="30" t="s">
        <v>192</v>
      </c>
      <c r="J29" s="15">
        <f>J26/(J28*10*J27)</f>
        <v>477.66990291262135</v>
      </c>
      <c r="K29" s="13" t="s">
        <v>54</v>
      </c>
    </row>
    <row r="30" spans="1:13" ht="17.25" customHeight="1" x14ac:dyDescent="0.35">
      <c r="B30" s="13" t="s">
        <v>156</v>
      </c>
      <c r="J30" s="16"/>
    </row>
    <row r="31" spans="1:13" ht="17.25" customHeight="1" x14ac:dyDescent="0.25">
      <c r="B31" s="14" t="s">
        <v>58</v>
      </c>
      <c r="C31" s="14"/>
      <c r="D31" s="14"/>
      <c r="E31" s="14"/>
      <c r="F31" s="14"/>
      <c r="G31" s="14"/>
      <c r="H31" s="22" t="s">
        <v>192</v>
      </c>
      <c r="I31" s="22"/>
      <c r="J31" s="14" t="s">
        <v>294</v>
      </c>
      <c r="K31" s="14"/>
      <c r="L31" s="14"/>
      <c r="M31" s="14"/>
    </row>
    <row r="32" spans="1:13" ht="17.25" customHeight="1" x14ac:dyDescent="0.25">
      <c r="B32" s="14"/>
      <c r="C32" s="14"/>
      <c r="D32" s="14"/>
      <c r="E32" s="14"/>
      <c r="F32" s="14"/>
      <c r="G32" s="14"/>
      <c r="H32" s="22" t="s">
        <v>192</v>
      </c>
      <c r="I32" s="22"/>
      <c r="J32" s="14" t="s">
        <v>295</v>
      </c>
      <c r="K32" s="14"/>
      <c r="L32" s="14"/>
      <c r="M32" s="14"/>
    </row>
    <row r="33" spans="1:14" ht="17.25" customHeight="1" x14ac:dyDescent="0.25">
      <c r="B33" s="14"/>
      <c r="C33" s="14"/>
      <c r="D33" s="14"/>
      <c r="E33" s="14"/>
      <c r="F33" s="14"/>
      <c r="G33" s="14"/>
      <c r="H33" s="22" t="s">
        <v>192</v>
      </c>
      <c r="I33" s="22"/>
      <c r="J33" s="21">
        <f>0.35*L13</f>
        <v>10045</v>
      </c>
      <c r="K33" s="14" t="s">
        <v>10</v>
      </c>
      <c r="L33" s="14"/>
      <c r="M33" s="14"/>
    </row>
    <row r="34" spans="1:14" ht="17.25" customHeight="1" x14ac:dyDescent="0.25">
      <c r="B34" s="13" t="s">
        <v>31</v>
      </c>
      <c r="J34" s="16"/>
    </row>
    <row r="35" spans="1:14" ht="17.25" customHeight="1" x14ac:dyDescent="0.25">
      <c r="B35" s="14" t="s">
        <v>23</v>
      </c>
      <c r="C35" s="14"/>
      <c r="D35" s="14"/>
      <c r="E35" s="14"/>
      <c r="F35" s="14"/>
      <c r="G35" s="14"/>
      <c r="H35" s="22" t="s">
        <v>192</v>
      </c>
      <c r="I35" s="22"/>
      <c r="J35" s="14" t="s">
        <v>296</v>
      </c>
      <c r="K35" s="14"/>
      <c r="L35" s="14"/>
      <c r="M35" s="14"/>
    </row>
    <row r="36" spans="1:14" ht="17.25" customHeight="1" x14ac:dyDescent="0.25">
      <c r="B36" s="14"/>
      <c r="C36" s="14"/>
      <c r="D36" s="14"/>
      <c r="E36" s="14"/>
      <c r="F36" s="14"/>
      <c r="G36" s="14"/>
      <c r="H36" s="22" t="s">
        <v>192</v>
      </c>
      <c r="I36" s="22"/>
      <c r="J36" s="14" t="s">
        <v>297</v>
      </c>
      <c r="K36" s="14"/>
      <c r="L36" s="14"/>
      <c r="M36" s="14"/>
    </row>
    <row r="37" spans="1:14" ht="17.25" customHeight="1" x14ac:dyDescent="0.25">
      <c r="B37" s="14"/>
      <c r="C37" s="14"/>
      <c r="D37" s="14"/>
      <c r="E37" s="14"/>
      <c r="F37" s="14"/>
      <c r="G37" s="14"/>
      <c r="H37" s="22" t="s">
        <v>192</v>
      </c>
      <c r="I37" s="22"/>
      <c r="J37" s="21">
        <f>0.1*L14</f>
        <v>57.400000000000006</v>
      </c>
      <c r="K37" s="14" t="s">
        <v>10</v>
      </c>
      <c r="L37" s="14"/>
      <c r="M37" s="14"/>
    </row>
    <row r="38" spans="1:14" ht="17.25" customHeight="1" x14ac:dyDescent="0.25">
      <c r="B38" s="13" t="s">
        <v>177</v>
      </c>
    </row>
    <row r="39" spans="1:14" ht="17.25" customHeight="1" x14ac:dyDescent="0.25">
      <c r="B39" s="14" t="s">
        <v>45</v>
      </c>
      <c r="C39" s="14"/>
      <c r="D39" s="14"/>
      <c r="E39" s="14"/>
      <c r="F39" s="14"/>
      <c r="G39" s="14"/>
      <c r="H39" s="30" t="s">
        <v>192</v>
      </c>
      <c r="J39" s="14" t="s">
        <v>298</v>
      </c>
      <c r="K39" s="14"/>
      <c r="L39" s="14"/>
      <c r="M39" s="14"/>
    </row>
    <row r="40" spans="1:14" ht="17.25" customHeight="1" x14ac:dyDescent="0.25">
      <c r="B40" s="14"/>
      <c r="C40" s="14"/>
      <c r="D40" s="14"/>
      <c r="E40" s="14"/>
      <c r="F40" s="14"/>
      <c r="G40" s="14"/>
      <c r="H40" s="30" t="s">
        <v>192</v>
      </c>
      <c r="J40" s="14" t="s">
        <v>299</v>
      </c>
      <c r="K40" s="14"/>
      <c r="L40" s="14"/>
      <c r="M40" s="14"/>
    </row>
    <row r="41" spans="1:14" ht="17.25" customHeight="1" x14ac:dyDescent="0.25">
      <c r="B41" s="14"/>
      <c r="C41" s="14"/>
      <c r="D41" s="14"/>
      <c r="E41" s="14"/>
      <c r="F41" s="14"/>
      <c r="G41" s="14"/>
      <c r="H41" s="30" t="s">
        <v>192</v>
      </c>
      <c r="J41" s="21">
        <f>0.4*L15</f>
        <v>328</v>
      </c>
      <c r="K41" s="14" t="s">
        <v>10</v>
      </c>
      <c r="L41" s="14"/>
      <c r="M41" s="14"/>
    </row>
    <row r="42" spans="1:14" ht="18.75" x14ac:dyDescent="0.35">
      <c r="B42" s="13" t="s">
        <v>139</v>
      </c>
      <c r="H42" s="13"/>
      <c r="I42" s="13"/>
    </row>
    <row r="43" spans="1:14" ht="18.75" x14ac:dyDescent="0.25">
      <c r="B43" s="14" t="s">
        <v>198</v>
      </c>
      <c r="H43" s="13" t="s">
        <v>192</v>
      </c>
      <c r="I43" s="13"/>
      <c r="J43" s="13">
        <v>0</v>
      </c>
      <c r="K43" s="13" t="s">
        <v>10</v>
      </c>
      <c r="N43" s="14"/>
    </row>
    <row r="44" spans="1:14" ht="18.75" x14ac:dyDescent="0.35">
      <c r="B44" s="13" t="s">
        <v>199</v>
      </c>
      <c r="H44" s="13" t="s">
        <v>192</v>
      </c>
      <c r="I44" s="13"/>
      <c r="J44" s="13" t="s">
        <v>300</v>
      </c>
      <c r="N44" s="14"/>
    </row>
    <row r="45" spans="1:14" ht="18" customHeight="1" x14ac:dyDescent="0.25">
      <c r="H45" s="13" t="s">
        <v>192</v>
      </c>
      <c r="I45" s="13"/>
      <c r="J45" s="13">
        <f>J41+J43</f>
        <v>328</v>
      </c>
      <c r="K45" s="13" t="s">
        <v>10</v>
      </c>
      <c r="N45" s="14"/>
    </row>
    <row r="46" spans="1:14" ht="40.5" customHeight="1" x14ac:dyDescent="0.25">
      <c r="B46" s="218" t="s">
        <v>123</v>
      </c>
      <c r="C46" s="218"/>
      <c r="D46" s="218"/>
      <c r="E46" s="218"/>
      <c r="F46" s="218"/>
      <c r="G46" s="186"/>
      <c r="H46" s="105" t="s">
        <v>192</v>
      </c>
      <c r="I46" s="105"/>
      <c r="J46" s="93">
        <f>J20</f>
        <v>0.7</v>
      </c>
      <c r="K46" s="48"/>
      <c r="L46" s="48"/>
      <c r="M46" s="48"/>
    </row>
    <row r="47" spans="1:14" ht="21.75" customHeight="1" x14ac:dyDescent="0.25">
      <c r="A47" s="157">
        <v>2.2000000000000002</v>
      </c>
      <c r="B47" s="117" t="s">
        <v>196</v>
      </c>
    </row>
    <row r="48" spans="1:14" ht="11.25" customHeight="1" x14ac:dyDescent="0.25">
      <c r="A48" s="157"/>
      <c r="B48" s="117"/>
    </row>
    <row r="49" spans="1:25" ht="17.25" customHeight="1" x14ac:dyDescent="0.25">
      <c r="A49" s="157"/>
      <c r="B49" s="14" t="s">
        <v>301</v>
      </c>
    </row>
    <row r="50" spans="1:25" ht="12" customHeight="1" x14ac:dyDescent="0.25">
      <c r="A50" s="157"/>
      <c r="B50" s="117"/>
    </row>
    <row r="51" spans="1:25" ht="19.5" customHeight="1" x14ac:dyDescent="0.25">
      <c r="A51" s="157"/>
      <c r="B51" s="14" t="s">
        <v>206</v>
      </c>
      <c r="H51" s="30" t="s">
        <v>192</v>
      </c>
      <c r="J51" s="18">
        <v>13300</v>
      </c>
      <c r="K51" s="13" t="s">
        <v>202</v>
      </c>
    </row>
    <row r="52" spans="1:25" ht="17.25" customHeight="1" x14ac:dyDescent="0.25">
      <c r="A52" s="157"/>
      <c r="B52" s="14" t="s">
        <v>203</v>
      </c>
      <c r="H52" s="30" t="s">
        <v>192</v>
      </c>
      <c r="J52" s="13">
        <v>1.02</v>
      </c>
    </row>
    <row r="53" spans="1:25" ht="18" customHeight="1" x14ac:dyDescent="0.25">
      <c r="A53" s="157"/>
      <c r="B53" s="14" t="s">
        <v>216</v>
      </c>
      <c r="H53" s="30" t="s">
        <v>192</v>
      </c>
      <c r="J53" s="13">
        <v>0.8</v>
      </c>
      <c r="K53" s="13" t="s">
        <v>47</v>
      </c>
    </row>
    <row r="54" spans="1:25" ht="18" customHeight="1" x14ac:dyDescent="0.25">
      <c r="A54" s="157"/>
      <c r="B54" s="14" t="s">
        <v>204</v>
      </c>
      <c r="H54" s="30" t="s">
        <v>192</v>
      </c>
      <c r="J54" s="15">
        <f>J51/(J52*J53*10)</f>
        <v>1629.9019607843136</v>
      </c>
      <c r="K54" s="13" t="s">
        <v>205</v>
      </c>
    </row>
    <row r="55" spans="1:25" ht="34.5" customHeight="1" x14ac:dyDescent="0.25">
      <c r="B55" s="48" t="s">
        <v>51</v>
      </c>
      <c r="C55" s="48"/>
      <c r="D55" s="48"/>
      <c r="E55" s="105"/>
      <c r="F55" s="48"/>
      <c r="G55" s="48"/>
      <c r="H55" s="105" t="s">
        <v>192</v>
      </c>
      <c r="I55" s="105"/>
      <c r="J55" s="218" t="s">
        <v>55</v>
      </c>
      <c r="K55" s="218"/>
      <c r="L55" s="218"/>
      <c r="M55" s="218"/>
      <c r="N55" s="32"/>
      <c r="O55" s="32"/>
      <c r="P55" s="32"/>
      <c r="Q55" s="32"/>
      <c r="R55" s="32"/>
    </row>
    <row r="56" spans="1:25" ht="53.25" customHeight="1" x14ac:dyDescent="0.25">
      <c r="B56" s="48" t="s">
        <v>52</v>
      </c>
      <c r="C56" s="48"/>
      <c r="D56" s="48"/>
      <c r="E56" s="48"/>
      <c r="F56" s="48"/>
      <c r="G56" s="48"/>
      <c r="H56" s="105" t="s">
        <v>192</v>
      </c>
      <c r="I56" s="105"/>
      <c r="J56" s="218" t="s">
        <v>56</v>
      </c>
      <c r="K56" s="218"/>
      <c r="L56" s="218"/>
      <c r="M56" s="218"/>
      <c r="N56" s="100"/>
      <c r="O56" s="100"/>
      <c r="P56" s="34"/>
      <c r="Q56" s="34"/>
      <c r="R56" s="34"/>
      <c r="S56" s="27"/>
    </row>
    <row r="57" spans="1:25" ht="18" customHeight="1" x14ac:dyDescent="0.25">
      <c r="B57" s="14"/>
      <c r="C57" s="14"/>
      <c r="D57" s="14"/>
      <c r="E57" s="14"/>
      <c r="F57" s="14"/>
      <c r="G57" s="14"/>
      <c r="H57" s="22" t="s">
        <v>192</v>
      </c>
      <c r="I57" s="22"/>
      <c r="J57" s="20">
        <f>10*0.65*0.68*1.42</f>
        <v>6.2763999999999998</v>
      </c>
      <c r="K57" s="14" t="s">
        <v>18</v>
      </c>
    </row>
    <row r="58" spans="1:25" ht="18.75" x14ac:dyDescent="0.25">
      <c r="B58" s="14" t="s">
        <v>51</v>
      </c>
      <c r="C58" s="14"/>
      <c r="D58" s="14"/>
      <c r="E58" s="14"/>
      <c r="F58" s="14"/>
      <c r="G58" s="14"/>
      <c r="H58" s="22" t="s">
        <v>192</v>
      </c>
      <c r="I58" s="22"/>
      <c r="J58" s="110" t="s">
        <v>39</v>
      </c>
      <c r="K58" s="14" t="s">
        <v>18</v>
      </c>
    </row>
    <row r="59" spans="1:25" ht="18" customHeight="1" x14ac:dyDescent="0.25">
      <c r="B59" s="14"/>
      <c r="C59" s="14"/>
      <c r="D59" s="14"/>
      <c r="E59" s="14"/>
      <c r="F59" s="14"/>
      <c r="G59" s="14"/>
      <c r="H59" s="22" t="s">
        <v>192</v>
      </c>
      <c r="I59" s="22"/>
      <c r="J59" s="20">
        <f>10-J57</f>
        <v>3.7236000000000002</v>
      </c>
      <c r="K59" s="14" t="s">
        <v>18</v>
      </c>
    </row>
    <row r="60" spans="1:25" ht="18.75" x14ac:dyDescent="0.35">
      <c r="B60" s="13" t="s">
        <v>57</v>
      </c>
      <c r="H60" s="30" t="s">
        <v>192</v>
      </c>
      <c r="J60" s="23">
        <f>J59*J54/1000</f>
        <v>6.0691029411764701</v>
      </c>
      <c r="K60" s="13" t="s">
        <v>10</v>
      </c>
    </row>
    <row r="61" spans="1:25" ht="56.25" customHeight="1" x14ac:dyDescent="0.25">
      <c r="B61" s="48" t="s">
        <v>178</v>
      </c>
      <c r="C61" s="14"/>
      <c r="D61" s="14"/>
      <c r="E61" s="14"/>
      <c r="F61" s="14"/>
      <c r="G61" s="14"/>
      <c r="H61" s="105" t="s">
        <v>192</v>
      </c>
      <c r="I61" s="105"/>
      <c r="J61" s="215" t="s">
        <v>285</v>
      </c>
      <c r="K61" s="215"/>
      <c r="L61" s="215"/>
      <c r="M61" s="215"/>
      <c r="N61" s="32"/>
      <c r="O61" s="32"/>
      <c r="P61" s="32"/>
      <c r="Q61" s="32"/>
    </row>
    <row r="62" spans="1:25" ht="18.75" customHeight="1" x14ac:dyDescent="0.25">
      <c r="H62" s="30" t="s">
        <v>192</v>
      </c>
      <c r="J62" s="23">
        <f>J51*0.65*0.68*1.42</f>
        <v>8347.612000000001</v>
      </c>
      <c r="K62" s="13" t="s">
        <v>10</v>
      </c>
    </row>
    <row r="63" spans="1:25" s="14" customFormat="1" ht="21" customHeight="1" x14ac:dyDescent="0.25">
      <c r="A63" s="157"/>
      <c r="B63" s="14" t="s">
        <v>140</v>
      </c>
      <c r="H63" s="22" t="s">
        <v>192</v>
      </c>
      <c r="I63" s="22"/>
      <c r="J63" s="223" t="s">
        <v>214</v>
      </c>
      <c r="K63" s="223"/>
      <c r="L63" s="223"/>
      <c r="M63" s="223"/>
      <c r="N63" s="20"/>
      <c r="U63" s="44"/>
      <c r="W63" s="21"/>
      <c r="Y63" s="21"/>
    </row>
    <row r="64" spans="1:25" s="14" customFormat="1" ht="21.75" customHeight="1" x14ac:dyDescent="0.25">
      <c r="A64" s="157"/>
      <c r="H64" s="22" t="s">
        <v>192</v>
      </c>
      <c r="I64" s="22"/>
      <c r="J64" s="160" t="s">
        <v>400</v>
      </c>
      <c r="K64" s="159"/>
      <c r="L64" s="159"/>
      <c r="M64" s="159"/>
      <c r="N64" s="20"/>
      <c r="U64" s="44"/>
      <c r="W64" s="21"/>
      <c r="Y64" s="21"/>
    </row>
    <row r="65" spans="1:25" ht="18.75" customHeight="1" x14ac:dyDescent="0.25">
      <c r="E65" s="14"/>
      <c r="F65" s="14"/>
      <c r="G65" s="14"/>
      <c r="H65" s="22" t="s">
        <v>192</v>
      </c>
      <c r="I65" s="22"/>
      <c r="J65" s="20">
        <f>J62+J60</f>
        <v>8353.6811029411783</v>
      </c>
      <c r="K65" s="14" t="s">
        <v>10</v>
      </c>
    </row>
    <row r="66" spans="1:25" ht="19.5" customHeight="1" x14ac:dyDescent="0.25">
      <c r="B66" s="14" t="s">
        <v>207</v>
      </c>
      <c r="C66" s="117"/>
      <c r="D66" s="14"/>
      <c r="E66" s="14"/>
      <c r="F66" s="14"/>
      <c r="G66" s="14"/>
      <c r="H66" s="22" t="s">
        <v>192</v>
      </c>
      <c r="I66" s="22"/>
      <c r="J66" s="119">
        <v>549</v>
      </c>
      <c r="K66" s="14" t="s">
        <v>202</v>
      </c>
      <c r="L66" s="14"/>
      <c r="M66" s="14"/>
    </row>
    <row r="67" spans="1:25" ht="19.5" customHeight="1" x14ac:dyDescent="0.25">
      <c r="B67" s="214" t="s">
        <v>208</v>
      </c>
      <c r="C67" s="214"/>
      <c r="D67" s="214"/>
      <c r="E67" s="214"/>
      <c r="F67" s="214"/>
      <c r="G67" s="133"/>
      <c r="H67" s="138" t="s">
        <v>192</v>
      </c>
      <c r="I67" s="138"/>
      <c r="J67" s="90">
        <v>1058</v>
      </c>
      <c r="K67" s="14" t="s">
        <v>202</v>
      </c>
      <c r="L67" s="16"/>
      <c r="M67" s="16"/>
      <c r="N67" s="16"/>
      <c r="O67" s="16"/>
      <c r="P67" s="16"/>
      <c r="Q67" s="16"/>
    </row>
    <row r="68" spans="1:25" ht="18.75" x14ac:dyDescent="0.35">
      <c r="B68" s="16" t="s">
        <v>209</v>
      </c>
      <c r="C68" s="16"/>
      <c r="D68" s="16"/>
      <c r="E68" s="16"/>
      <c r="F68" s="16"/>
      <c r="G68" s="16"/>
      <c r="H68" s="138" t="s">
        <v>192</v>
      </c>
      <c r="I68" s="138"/>
      <c r="J68" s="47">
        <v>1.6</v>
      </c>
      <c r="K68" s="14" t="s">
        <v>202</v>
      </c>
      <c r="L68" s="16"/>
      <c r="M68" s="16"/>
      <c r="N68" s="16"/>
      <c r="O68" s="16"/>
      <c r="P68" s="16"/>
      <c r="Q68" s="16"/>
    </row>
    <row r="69" spans="1:25" ht="18.75" customHeight="1" x14ac:dyDescent="0.25">
      <c r="B69" s="16" t="s">
        <v>210</v>
      </c>
      <c r="C69" s="16"/>
      <c r="D69" s="16"/>
      <c r="E69" s="16"/>
      <c r="F69" s="16"/>
      <c r="G69" s="16"/>
      <c r="H69" s="138" t="s">
        <v>192</v>
      </c>
      <c r="I69" s="138"/>
      <c r="J69" s="19">
        <f>J67+J68</f>
        <v>1059.5999999999999</v>
      </c>
      <c r="K69" s="14" t="s">
        <v>202</v>
      </c>
      <c r="L69" s="16"/>
      <c r="M69" s="16"/>
      <c r="N69" s="16"/>
      <c r="O69" s="16"/>
      <c r="P69" s="16"/>
      <c r="Q69" s="16"/>
    </row>
    <row r="70" spans="1:25" ht="18" customHeight="1" x14ac:dyDescent="0.25">
      <c r="B70" s="16" t="s">
        <v>211</v>
      </c>
      <c r="C70" s="16"/>
      <c r="D70" s="16"/>
      <c r="E70" s="16"/>
      <c r="F70" s="16"/>
      <c r="G70" s="16"/>
      <c r="H70" s="138" t="s">
        <v>192</v>
      </c>
      <c r="I70" s="138"/>
      <c r="J70" s="19">
        <v>11.4</v>
      </c>
      <c r="K70" s="14" t="s">
        <v>202</v>
      </c>
      <c r="L70" s="16"/>
      <c r="M70" s="16"/>
      <c r="N70" s="16"/>
      <c r="O70" s="16"/>
      <c r="P70" s="16"/>
      <c r="Q70" s="16"/>
    </row>
    <row r="71" spans="1:25" ht="18.75" customHeight="1" x14ac:dyDescent="0.25">
      <c r="B71" s="16" t="s">
        <v>212</v>
      </c>
      <c r="C71" s="16"/>
      <c r="D71" s="16"/>
      <c r="E71" s="16"/>
      <c r="F71" s="16"/>
      <c r="G71" s="16"/>
      <c r="H71" s="138" t="s">
        <v>192</v>
      </c>
      <c r="I71" s="138"/>
      <c r="J71" s="97">
        <f>J69+J70</f>
        <v>1071</v>
      </c>
      <c r="K71" s="62" t="s">
        <v>202</v>
      </c>
      <c r="L71" s="16"/>
      <c r="M71" s="16"/>
      <c r="N71" s="16"/>
      <c r="O71" s="16"/>
      <c r="P71" s="16"/>
      <c r="Q71" s="16"/>
    </row>
    <row r="72" spans="1:25" ht="30" customHeight="1" x14ac:dyDescent="0.25">
      <c r="B72" s="217" t="s">
        <v>213</v>
      </c>
      <c r="C72" s="217"/>
      <c r="D72" s="217"/>
      <c r="E72" s="217"/>
      <c r="F72" s="217"/>
      <c r="G72" s="217"/>
      <c r="H72" s="136" t="s">
        <v>192</v>
      </c>
      <c r="I72" s="136"/>
      <c r="J72" s="93">
        <v>0.7</v>
      </c>
      <c r="K72" s="48"/>
      <c r="L72" s="48"/>
      <c r="M72" s="48"/>
      <c r="N72" s="16"/>
      <c r="O72" s="16"/>
      <c r="P72" s="16"/>
      <c r="Q72" s="16"/>
    </row>
    <row r="73" spans="1:25" x14ac:dyDescent="0.25">
      <c r="B73" s="16"/>
      <c r="C73" s="16"/>
      <c r="D73" s="16"/>
      <c r="E73" s="16"/>
      <c r="F73" s="16"/>
      <c r="G73" s="16"/>
      <c r="H73" s="147"/>
      <c r="I73" s="147"/>
      <c r="J73" s="19"/>
      <c r="L73" s="16"/>
      <c r="M73" s="16"/>
      <c r="N73" s="16"/>
      <c r="O73" s="16"/>
      <c r="P73" s="16"/>
      <c r="Q73" s="16"/>
    </row>
    <row r="74" spans="1:25" ht="22.5" customHeight="1" x14ac:dyDescent="0.25">
      <c r="A74" s="157">
        <v>2.2999999999999998</v>
      </c>
      <c r="B74" s="117" t="s">
        <v>67</v>
      </c>
      <c r="C74" s="14"/>
      <c r="D74" s="14"/>
      <c r="H74" s="145"/>
      <c r="I74" s="145"/>
      <c r="J74" s="40"/>
    </row>
    <row r="75" spans="1:25" ht="12" customHeight="1" x14ac:dyDescent="0.25"/>
    <row r="76" spans="1:25" s="14" customFormat="1" ht="20.25" customHeight="1" x14ac:dyDescent="0.25">
      <c r="A76" s="157" t="s">
        <v>197</v>
      </c>
      <c r="B76" s="37" t="s">
        <v>215</v>
      </c>
      <c r="H76" s="22"/>
      <c r="I76" s="22"/>
      <c r="J76" s="161"/>
      <c r="U76" s="44"/>
      <c r="W76" s="21"/>
      <c r="Y76" s="21"/>
    </row>
    <row r="77" spans="1:25" ht="17.25" customHeight="1" x14ac:dyDescent="0.25">
      <c r="B77" s="13" t="s">
        <v>2</v>
      </c>
      <c r="H77" s="22" t="s">
        <v>192</v>
      </c>
      <c r="I77" s="22"/>
      <c r="J77" s="62" t="s">
        <v>302</v>
      </c>
      <c r="K77" s="62"/>
      <c r="L77" s="62"/>
      <c r="M77" s="62"/>
      <c r="N77" s="62"/>
      <c r="O77" s="34"/>
      <c r="P77" s="34"/>
      <c r="Q77" s="34"/>
      <c r="R77" s="27"/>
      <c r="S77" s="27"/>
    </row>
    <row r="78" spans="1:25" ht="18.75" customHeight="1" x14ac:dyDescent="0.25">
      <c r="H78" s="22" t="s">
        <v>192</v>
      </c>
      <c r="I78" s="22"/>
      <c r="J78" s="30" t="s">
        <v>401</v>
      </c>
      <c r="K78" s="142"/>
      <c r="L78" s="142"/>
      <c r="M78" s="142"/>
      <c r="N78" s="142"/>
      <c r="O78" s="34"/>
      <c r="P78" s="34"/>
      <c r="Q78" s="34"/>
      <c r="R78" s="142"/>
      <c r="S78" s="142"/>
    </row>
    <row r="79" spans="1:25" ht="17.25" customHeight="1" x14ac:dyDescent="0.25">
      <c r="H79" s="22" t="s">
        <v>192</v>
      </c>
      <c r="I79" s="22"/>
      <c r="J79" s="18">
        <f>J26+J51</f>
        <v>32980</v>
      </c>
      <c r="K79" s="13" t="s">
        <v>10</v>
      </c>
    </row>
    <row r="80" spans="1:25" ht="18" customHeight="1" x14ac:dyDescent="0.25">
      <c r="B80" s="14" t="s">
        <v>286</v>
      </c>
      <c r="H80" s="30" t="s">
        <v>192</v>
      </c>
      <c r="J80" s="13">
        <v>1.0249999999999999</v>
      </c>
    </row>
    <row r="81" spans="1:25" ht="19.5" customHeight="1" x14ac:dyDescent="0.25">
      <c r="B81" s="14" t="s">
        <v>320</v>
      </c>
      <c r="H81" s="30" t="s">
        <v>192</v>
      </c>
      <c r="J81" s="13" t="s">
        <v>402</v>
      </c>
    </row>
    <row r="82" spans="1:25" ht="17.25" customHeight="1" x14ac:dyDescent="0.25">
      <c r="B82" s="16"/>
      <c r="C82" s="16"/>
      <c r="D82" s="16"/>
      <c r="E82" s="16"/>
      <c r="F82" s="16"/>
      <c r="G82" s="16"/>
      <c r="H82" s="147" t="s">
        <v>192</v>
      </c>
      <c r="I82" s="147"/>
      <c r="J82" s="19">
        <f>(J79/(J80*(J54+J29)))/10</f>
        <v>1.5266672662661984</v>
      </c>
      <c r="K82" s="16" t="s">
        <v>47</v>
      </c>
      <c r="L82" s="16"/>
      <c r="M82" s="16"/>
    </row>
    <row r="83" spans="1:25" ht="18.75" x14ac:dyDescent="0.25">
      <c r="B83" s="16" t="s">
        <v>398</v>
      </c>
      <c r="C83" s="16"/>
      <c r="D83" s="16"/>
      <c r="E83" s="16"/>
      <c r="F83" s="16"/>
      <c r="G83" s="16"/>
      <c r="H83" s="112" t="s">
        <v>192</v>
      </c>
      <c r="I83" s="112"/>
      <c r="J83" s="19">
        <f>J79/(J82*10*J80)</f>
        <v>2107.571863696935</v>
      </c>
      <c r="K83" s="16" t="s">
        <v>54</v>
      </c>
      <c r="L83" s="16"/>
      <c r="M83" s="16"/>
    </row>
    <row r="84" spans="1:25" x14ac:dyDescent="0.25">
      <c r="B84" s="16" t="s">
        <v>360</v>
      </c>
      <c r="C84" s="16"/>
      <c r="D84" s="16"/>
      <c r="E84" s="16"/>
      <c r="F84" s="16"/>
      <c r="G84" s="16"/>
      <c r="H84" s="147" t="s">
        <v>192</v>
      </c>
      <c r="I84" s="147"/>
      <c r="J84" s="201">
        <v>2</v>
      </c>
      <c r="K84" s="93" t="s">
        <v>359</v>
      </c>
      <c r="L84" s="16"/>
      <c r="M84" s="16"/>
    </row>
    <row r="85" spans="1:25" ht="18.75" customHeight="1" x14ac:dyDescent="0.25">
      <c r="B85" s="16" t="s">
        <v>217</v>
      </c>
      <c r="H85" s="22" t="s">
        <v>192</v>
      </c>
      <c r="I85" s="22"/>
      <c r="J85" s="120" t="s">
        <v>403</v>
      </c>
      <c r="K85" s="120"/>
    </row>
    <row r="86" spans="1:25" ht="19.5" customHeight="1" x14ac:dyDescent="0.25">
      <c r="H86" s="22" t="s">
        <v>192</v>
      </c>
      <c r="I86" s="22"/>
      <c r="J86" s="15">
        <f>(J84*J79/1000)</f>
        <v>65.959999999999994</v>
      </c>
      <c r="K86" s="13" t="s">
        <v>10</v>
      </c>
    </row>
    <row r="87" spans="1:25" ht="20.25" customHeight="1" x14ac:dyDescent="0.25">
      <c r="B87" s="13" t="s">
        <v>228</v>
      </c>
      <c r="H87" s="22" t="s">
        <v>192</v>
      </c>
      <c r="I87" s="22"/>
      <c r="J87" s="15" t="s">
        <v>404</v>
      </c>
    </row>
    <row r="88" spans="1:25" ht="18.75" customHeight="1" x14ac:dyDescent="0.25">
      <c r="H88" s="22" t="s">
        <v>192</v>
      </c>
      <c r="I88" s="22"/>
      <c r="J88" s="15">
        <f>J86+J79</f>
        <v>33045.96</v>
      </c>
      <c r="K88" s="13" t="s">
        <v>10</v>
      </c>
    </row>
    <row r="89" spans="1:25" ht="18.75" customHeight="1" x14ac:dyDescent="0.35">
      <c r="B89" s="13" t="s">
        <v>64</v>
      </c>
      <c r="H89" s="22" t="s">
        <v>192</v>
      </c>
      <c r="I89" s="22"/>
      <c r="J89" s="14" t="s">
        <v>303</v>
      </c>
      <c r="K89" s="14"/>
      <c r="L89" s="14"/>
      <c r="M89" s="14"/>
      <c r="N89" s="14"/>
      <c r="O89" s="32"/>
      <c r="P89" s="32"/>
      <c r="Q89" s="32"/>
      <c r="R89" s="28"/>
      <c r="S89" s="28"/>
    </row>
    <row r="90" spans="1:25" ht="18.75" customHeight="1" x14ac:dyDescent="0.25">
      <c r="H90" s="22" t="s">
        <v>192</v>
      </c>
      <c r="I90" s="22"/>
      <c r="J90" s="22" t="s">
        <v>405</v>
      </c>
      <c r="K90" s="135"/>
      <c r="L90" s="135"/>
      <c r="M90" s="135"/>
      <c r="N90" s="135"/>
      <c r="O90" s="32"/>
      <c r="P90" s="32"/>
      <c r="Q90" s="32"/>
      <c r="R90" s="135"/>
      <c r="S90" s="135"/>
    </row>
    <row r="91" spans="1:25" ht="18.75" customHeight="1" x14ac:dyDescent="0.25">
      <c r="H91" s="22" t="s">
        <v>192</v>
      </c>
      <c r="I91" s="22"/>
      <c r="J91" s="15">
        <f>J33+J65</f>
        <v>18398.681102941177</v>
      </c>
      <c r="K91" s="13" t="s">
        <v>10</v>
      </c>
    </row>
    <row r="92" spans="1:25" ht="19.5" customHeight="1" x14ac:dyDescent="0.25">
      <c r="B92" s="14" t="s">
        <v>4</v>
      </c>
      <c r="C92" s="14"/>
      <c r="D92" s="14"/>
      <c r="E92" s="14"/>
      <c r="F92" s="14"/>
      <c r="G92" s="14"/>
      <c r="H92" s="22" t="s">
        <v>192</v>
      </c>
      <c r="I92" s="22"/>
      <c r="J92" s="14" t="s">
        <v>180</v>
      </c>
      <c r="K92" s="14"/>
      <c r="L92" s="14"/>
      <c r="M92" s="14"/>
      <c r="N92" s="14"/>
      <c r="O92" s="34"/>
      <c r="P92" s="34"/>
      <c r="Q92" s="34"/>
      <c r="R92" s="27"/>
      <c r="S92" s="27"/>
    </row>
    <row r="93" spans="1:25" ht="16.5" customHeight="1" x14ac:dyDescent="0.25">
      <c r="B93" s="14"/>
      <c r="C93" s="14"/>
      <c r="D93" s="14"/>
      <c r="E93" s="14"/>
      <c r="F93" s="14"/>
      <c r="G93" s="14"/>
      <c r="H93" s="22" t="s">
        <v>192</v>
      </c>
      <c r="I93" s="22"/>
      <c r="J93" s="22" t="s">
        <v>218</v>
      </c>
      <c r="K93" s="135"/>
      <c r="L93" s="135"/>
      <c r="M93" s="135"/>
      <c r="N93" s="135"/>
      <c r="O93" s="34"/>
      <c r="P93" s="34"/>
      <c r="Q93" s="34"/>
      <c r="R93" s="142"/>
      <c r="S93" s="142"/>
    </row>
    <row r="94" spans="1:25" ht="17.25" customHeight="1" x14ac:dyDescent="0.25">
      <c r="H94" s="22" t="s">
        <v>192</v>
      </c>
      <c r="I94" s="22"/>
      <c r="J94" s="19">
        <f>J66+J37</f>
        <v>606.4</v>
      </c>
      <c r="K94" s="16" t="s">
        <v>10</v>
      </c>
      <c r="L94" s="16"/>
      <c r="M94" s="16"/>
    </row>
    <row r="95" spans="1:25" s="14" customFormat="1" ht="18.75" customHeight="1" x14ac:dyDescent="0.25">
      <c r="A95" s="157"/>
      <c r="B95" s="14" t="s">
        <v>3</v>
      </c>
      <c r="H95" s="22" t="s">
        <v>192</v>
      </c>
      <c r="I95" s="22"/>
      <c r="J95" s="21" t="s">
        <v>181</v>
      </c>
      <c r="K95" s="21"/>
      <c r="L95" s="21"/>
      <c r="M95" s="21"/>
      <c r="N95" s="21"/>
      <c r="O95" s="106"/>
      <c r="P95" s="106"/>
      <c r="Q95" s="106"/>
      <c r="U95" s="44"/>
      <c r="W95" s="21"/>
      <c r="Y95" s="21"/>
    </row>
    <row r="96" spans="1:25" s="14" customFormat="1" ht="20.25" customHeight="1" x14ac:dyDescent="0.25">
      <c r="A96" s="157"/>
      <c r="H96" s="22" t="s">
        <v>192</v>
      </c>
      <c r="I96" s="22"/>
      <c r="J96" s="112" t="s">
        <v>406</v>
      </c>
      <c r="K96" s="138"/>
      <c r="L96" s="138"/>
      <c r="M96" s="138"/>
      <c r="N96" s="138"/>
      <c r="O96" s="106"/>
      <c r="P96" s="106"/>
      <c r="Q96" s="106"/>
      <c r="U96" s="44"/>
      <c r="W96" s="21"/>
      <c r="Y96" s="21"/>
    </row>
    <row r="97" spans="1:16" ht="19.5" customHeight="1" x14ac:dyDescent="0.25">
      <c r="H97" s="22" t="s">
        <v>192</v>
      </c>
      <c r="I97" s="22"/>
      <c r="J97" s="16">
        <f>J67+J41</f>
        <v>1386</v>
      </c>
      <c r="K97" s="16" t="s">
        <v>10</v>
      </c>
      <c r="L97" s="16"/>
      <c r="M97" s="16"/>
      <c r="N97" s="16"/>
      <c r="O97" s="16"/>
      <c r="P97" s="16"/>
    </row>
    <row r="98" spans="1:16" ht="18.75" x14ac:dyDescent="0.35">
      <c r="B98" s="13" t="s">
        <v>174</v>
      </c>
      <c r="H98" s="22" t="s">
        <v>192</v>
      </c>
      <c r="I98" s="22"/>
      <c r="J98" s="16" t="s">
        <v>182</v>
      </c>
      <c r="K98" s="16"/>
      <c r="L98" s="16"/>
      <c r="M98" s="16"/>
      <c r="N98" s="16"/>
      <c r="O98" s="16"/>
      <c r="P98" s="16"/>
    </row>
    <row r="99" spans="1:16" ht="18" customHeight="1" x14ac:dyDescent="0.25">
      <c r="H99" s="22" t="s">
        <v>192</v>
      </c>
      <c r="I99" s="22"/>
      <c r="J99" s="16" t="s">
        <v>219</v>
      </c>
      <c r="K99" s="16"/>
      <c r="L99" s="16"/>
      <c r="M99" s="16"/>
      <c r="N99" s="16"/>
      <c r="O99" s="16"/>
      <c r="P99" s="16"/>
    </row>
    <row r="100" spans="1:16" ht="18" customHeight="1" x14ac:dyDescent="0.25">
      <c r="D100" s="16"/>
      <c r="E100" s="16"/>
      <c r="H100" s="22" t="s">
        <v>192</v>
      </c>
      <c r="I100" s="22"/>
      <c r="J100" s="47">
        <f>J68+0</f>
        <v>1.6</v>
      </c>
      <c r="K100" s="16" t="s">
        <v>10</v>
      </c>
      <c r="L100" s="16"/>
      <c r="M100" s="16"/>
      <c r="N100" s="16"/>
      <c r="O100" s="16"/>
      <c r="P100" s="16"/>
    </row>
    <row r="101" spans="1:16" ht="18.75" x14ac:dyDescent="0.35">
      <c r="B101" s="13" t="s">
        <v>5</v>
      </c>
      <c r="D101" s="16"/>
      <c r="E101" s="16"/>
      <c r="H101" s="22" t="s">
        <v>192</v>
      </c>
      <c r="I101" s="22"/>
      <c r="J101" s="13" t="s">
        <v>200</v>
      </c>
      <c r="K101" s="16"/>
      <c r="L101" s="16"/>
      <c r="M101" s="16"/>
      <c r="N101" s="16"/>
      <c r="O101" s="16"/>
      <c r="P101" s="16"/>
    </row>
    <row r="102" spans="1:16" ht="17.25" customHeight="1" x14ac:dyDescent="0.25">
      <c r="D102" s="16"/>
      <c r="E102" s="16"/>
      <c r="H102" s="22" t="s">
        <v>192</v>
      </c>
      <c r="I102" s="22"/>
      <c r="J102" s="47" t="s">
        <v>407</v>
      </c>
      <c r="K102" s="16"/>
      <c r="L102" s="16"/>
      <c r="M102" s="16"/>
      <c r="N102" s="16"/>
      <c r="O102" s="16"/>
      <c r="P102" s="16"/>
    </row>
    <row r="103" spans="1:16" ht="17.25" customHeight="1" x14ac:dyDescent="0.25">
      <c r="D103" s="16"/>
      <c r="E103" s="16"/>
      <c r="H103" s="22" t="s">
        <v>192</v>
      </c>
      <c r="I103" s="22"/>
      <c r="J103" s="47">
        <f>J100+J97</f>
        <v>1387.6</v>
      </c>
      <c r="K103" s="16" t="s">
        <v>10</v>
      </c>
      <c r="L103" s="16"/>
      <c r="M103" s="16"/>
      <c r="N103" s="16"/>
      <c r="O103" s="16"/>
      <c r="P103" s="16"/>
    </row>
    <row r="104" spans="1:16" ht="30.75" customHeight="1" x14ac:dyDescent="0.25">
      <c r="B104" s="218" t="s">
        <v>124</v>
      </c>
      <c r="C104" s="218"/>
      <c r="D104" s="218"/>
      <c r="E104" s="218"/>
      <c r="F104" s="218"/>
      <c r="G104" s="127"/>
      <c r="H104" s="105" t="s">
        <v>192</v>
      </c>
      <c r="I104" s="105"/>
      <c r="J104" s="224" t="s">
        <v>183</v>
      </c>
      <c r="K104" s="224"/>
      <c r="L104" s="224"/>
      <c r="M104" s="224"/>
      <c r="N104" s="162"/>
      <c r="O104" s="31"/>
      <c r="P104" s="16"/>
    </row>
    <row r="105" spans="1:16" ht="32.25" customHeight="1" x14ac:dyDescent="0.25">
      <c r="D105" s="16"/>
      <c r="E105" s="16"/>
      <c r="H105" s="105" t="s">
        <v>192</v>
      </c>
      <c r="I105" s="22"/>
      <c r="J105" s="224" t="s">
        <v>408</v>
      </c>
      <c r="K105" s="224"/>
      <c r="L105" s="224"/>
      <c r="M105" s="224"/>
      <c r="N105" s="104"/>
      <c r="O105" s="16"/>
      <c r="P105" s="16"/>
    </row>
    <row r="106" spans="1:16" ht="17.25" customHeight="1" x14ac:dyDescent="0.25">
      <c r="D106" s="21"/>
      <c r="E106" s="21"/>
      <c r="F106" s="14"/>
      <c r="G106" s="14"/>
      <c r="H106" s="22" t="s">
        <v>192</v>
      </c>
      <c r="I106" s="22"/>
      <c r="J106" s="115">
        <f>((J46*J26)+(J72*J51))/J79</f>
        <v>0.7</v>
      </c>
      <c r="K106" s="217" t="s">
        <v>261</v>
      </c>
      <c r="L106" s="217"/>
      <c r="M106" s="217"/>
      <c r="N106" s="91"/>
      <c r="O106" s="16"/>
      <c r="P106" s="16"/>
    </row>
    <row r="107" spans="1:16" ht="18" customHeight="1" x14ac:dyDescent="0.25">
      <c r="D107" s="21"/>
      <c r="E107" s="21"/>
      <c r="F107" s="14"/>
      <c r="G107" s="14"/>
      <c r="H107" s="22"/>
      <c r="I107" s="22"/>
      <c r="J107" s="115"/>
      <c r="K107" s="217"/>
      <c r="L107" s="217"/>
      <c r="M107" s="217"/>
      <c r="N107" s="91"/>
      <c r="O107" s="16"/>
      <c r="P107" s="16"/>
    </row>
    <row r="108" spans="1:16" ht="24.75" customHeight="1" x14ac:dyDescent="0.25">
      <c r="A108" s="157" t="s">
        <v>197</v>
      </c>
      <c r="B108" s="37" t="s">
        <v>220</v>
      </c>
      <c r="D108" s="16"/>
      <c r="E108" s="16"/>
      <c r="H108" s="105"/>
      <c r="I108" s="105"/>
      <c r="J108" s="92"/>
      <c r="K108" s="91"/>
      <c r="L108" s="91"/>
      <c r="M108" s="91"/>
      <c r="N108" s="91"/>
      <c r="O108" s="16"/>
      <c r="P108" s="16"/>
    </row>
    <row r="109" spans="1:16" ht="18.75" customHeight="1" x14ac:dyDescent="0.25">
      <c r="B109" s="13" t="s">
        <v>223</v>
      </c>
      <c r="H109" s="30" t="s">
        <v>192</v>
      </c>
      <c r="J109" s="25">
        <v>0.95</v>
      </c>
      <c r="O109" s="16"/>
      <c r="P109" s="16"/>
    </row>
    <row r="110" spans="1:16" ht="31.5" customHeight="1" x14ac:dyDescent="0.25">
      <c r="B110" s="215" t="s">
        <v>221</v>
      </c>
      <c r="C110" s="215"/>
      <c r="D110" s="215"/>
      <c r="E110" s="215"/>
      <c r="F110" s="215"/>
      <c r="G110" s="215"/>
      <c r="H110" s="105" t="s">
        <v>192</v>
      </c>
      <c r="I110" s="105"/>
      <c r="J110" s="164">
        <v>0.8</v>
      </c>
      <c r="K110" s="14"/>
      <c r="L110" s="14"/>
      <c r="M110" s="14"/>
      <c r="N110" s="91"/>
      <c r="O110" s="16"/>
      <c r="P110" s="16"/>
    </row>
    <row r="111" spans="1:16" ht="18.75" customHeight="1" x14ac:dyDescent="0.25">
      <c r="B111" s="13" t="s">
        <v>222</v>
      </c>
      <c r="H111" s="30" t="s">
        <v>192</v>
      </c>
      <c r="J111" s="13" t="s">
        <v>42</v>
      </c>
      <c r="N111" s="91"/>
      <c r="O111" s="16"/>
      <c r="P111" s="16"/>
    </row>
    <row r="112" spans="1:16" ht="18.75" customHeight="1" x14ac:dyDescent="0.25">
      <c r="B112" s="13" t="s">
        <v>187</v>
      </c>
      <c r="C112" s="14"/>
      <c r="D112" s="14"/>
      <c r="E112" s="14"/>
      <c r="F112" s="14"/>
      <c r="G112" s="14"/>
      <c r="H112" s="30" t="s">
        <v>192</v>
      </c>
      <c r="I112" s="22"/>
      <c r="J112" s="20" t="s">
        <v>409</v>
      </c>
      <c r="K112" s="14"/>
      <c r="L112" s="14"/>
      <c r="M112" s="14"/>
      <c r="N112" s="91"/>
      <c r="O112" s="16"/>
      <c r="P112" s="16"/>
    </row>
    <row r="113" spans="1:21" ht="17.25" customHeight="1" x14ac:dyDescent="0.25">
      <c r="H113" s="30" t="s">
        <v>192</v>
      </c>
      <c r="I113" s="22"/>
      <c r="J113" s="15">
        <f>0.95*J79+J86*0.8</f>
        <v>31383.768</v>
      </c>
      <c r="K113" s="14" t="s">
        <v>10</v>
      </c>
    </row>
    <row r="114" spans="1:21" ht="18.75" customHeight="1" x14ac:dyDescent="0.25">
      <c r="B114" s="13" t="s">
        <v>224</v>
      </c>
      <c r="H114" s="30" t="s">
        <v>192</v>
      </c>
      <c r="J114" s="16">
        <v>1.03</v>
      </c>
    </row>
    <row r="115" spans="1:21" s="16" customFormat="1" ht="17.25" customHeight="1" x14ac:dyDescent="0.25">
      <c r="A115" s="154"/>
      <c r="B115" s="16" t="s">
        <v>225</v>
      </c>
      <c r="H115" s="147" t="s">
        <v>192</v>
      </c>
      <c r="I115" s="147"/>
      <c r="J115" s="16">
        <v>8</v>
      </c>
      <c r="K115" s="16" t="s">
        <v>47</v>
      </c>
      <c r="U115" s="35"/>
    </row>
    <row r="116" spans="1:21" ht="18.75" x14ac:dyDescent="0.25">
      <c r="B116" s="13" t="s">
        <v>249</v>
      </c>
      <c r="H116" s="30" t="s">
        <v>192</v>
      </c>
      <c r="J116" s="15">
        <f>J113/(10*J115*J114)</f>
        <v>380.8709708737864</v>
      </c>
      <c r="K116" s="16" t="s">
        <v>54</v>
      </c>
    </row>
    <row r="117" spans="1:21" ht="18.75" x14ac:dyDescent="0.35">
      <c r="B117" s="13" t="s">
        <v>172</v>
      </c>
      <c r="H117" s="30" t="s">
        <v>192</v>
      </c>
      <c r="J117" s="13" t="s">
        <v>157</v>
      </c>
    </row>
    <row r="118" spans="1:21" ht="18" customHeight="1" x14ac:dyDescent="0.25">
      <c r="H118" s="30" t="s">
        <v>192</v>
      </c>
      <c r="J118" s="13" t="s">
        <v>410</v>
      </c>
    </row>
    <row r="119" spans="1:21" ht="17.25" customHeight="1" x14ac:dyDescent="0.25">
      <c r="H119" s="30" t="s">
        <v>192</v>
      </c>
      <c r="J119" s="15">
        <f>0.95*J91</f>
        <v>17478.747047794117</v>
      </c>
      <c r="K119" s="13" t="s">
        <v>10</v>
      </c>
    </row>
    <row r="120" spans="1:21" ht="17.25" customHeight="1" x14ac:dyDescent="0.25">
      <c r="B120" s="13" t="s">
        <v>4</v>
      </c>
      <c r="H120" s="30" t="s">
        <v>192</v>
      </c>
      <c r="J120" s="13" t="s">
        <v>41</v>
      </c>
    </row>
    <row r="121" spans="1:21" ht="18" customHeight="1" x14ac:dyDescent="0.25">
      <c r="H121" s="30" t="s">
        <v>192</v>
      </c>
      <c r="J121" s="13" t="s">
        <v>226</v>
      </c>
    </row>
    <row r="122" spans="1:21" ht="18" customHeight="1" x14ac:dyDescent="0.25">
      <c r="H122" s="30" t="s">
        <v>192</v>
      </c>
      <c r="J122" s="15">
        <f>0.95*J94</f>
        <v>576.07999999999993</v>
      </c>
      <c r="K122" s="13" t="s">
        <v>10</v>
      </c>
    </row>
    <row r="123" spans="1:21" ht="17.25" customHeight="1" x14ac:dyDescent="0.25">
      <c r="B123" s="16" t="s">
        <v>3</v>
      </c>
      <c r="C123" s="16"/>
      <c r="D123" s="16"/>
      <c r="E123" s="16"/>
      <c r="H123" s="30" t="s">
        <v>192</v>
      </c>
      <c r="J123" s="16" t="s">
        <v>43</v>
      </c>
      <c r="K123" s="16"/>
    </row>
    <row r="124" spans="1:21" ht="18" customHeight="1" x14ac:dyDescent="0.25">
      <c r="B124" s="16"/>
      <c r="C124" s="16"/>
      <c r="D124" s="16"/>
      <c r="E124" s="16"/>
      <c r="H124" s="30" t="s">
        <v>192</v>
      </c>
      <c r="J124" s="16" t="s">
        <v>411</v>
      </c>
      <c r="K124" s="16"/>
    </row>
    <row r="125" spans="1:21" ht="18.75" customHeight="1" x14ac:dyDescent="0.25">
      <c r="H125" s="30" t="s">
        <v>192</v>
      </c>
      <c r="J125" s="15">
        <f>0.95*J97</f>
        <v>1316.7</v>
      </c>
      <c r="K125" s="13" t="s">
        <v>10</v>
      </c>
    </row>
    <row r="126" spans="1:21" ht="18.75" x14ac:dyDescent="0.35">
      <c r="B126" s="16" t="s">
        <v>169</v>
      </c>
      <c r="C126" s="16"/>
      <c r="D126" s="16"/>
      <c r="E126" s="16"/>
      <c r="F126" s="16"/>
      <c r="G126" s="16"/>
      <c r="H126" s="147" t="s">
        <v>192</v>
      </c>
      <c r="I126" s="147"/>
      <c r="J126" s="16" t="s">
        <v>326</v>
      </c>
      <c r="K126" s="16"/>
      <c r="L126" s="16"/>
      <c r="M126" s="16"/>
    </row>
    <row r="127" spans="1:21" ht="18.75" x14ac:dyDescent="0.25">
      <c r="B127" s="16"/>
      <c r="C127" s="16"/>
      <c r="D127" s="16"/>
      <c r="E127" s="16"/>
      <c r="F127" s="16"/>
      <c r="G127" s="16"/>
      <c r="H127" s="147" t="s">
        <v>192</v>
      </c>
      <c r="I127" s="147"/>
      <c r="J127" s="16" t="s">
        <v>478</v>
      </c>
      <c r="K127" s="16"/>
      <c r="L127" s="16"/>
      <c r="M127" s="16"/>
    </row>
    <row r="128" spans="1:21" ht="17.25" customHeight="1" x14ac:dyDescent="0.25">
      <c r="B128" s="16"/>
      <c r="C128" s="16"/>
      <c r="D128" s="16"/>
      <c r="E128" s="16"/>
      <c r="F128" s="16"/>
      <c r="G128" s="16"/>
      <c r="H128" s="147" t="s">
        <v>192</v>
      </c>
      <c r="I128" s="147"/>
      <c r="J128" s="19">
        <f>(J116/J83)*J100</f>
        <v>0.28914485142590041</v>
      </c>
      <c r="K128" s="16" t="s">
        <v>10</v>
      </c>
      <c r="L128" s="16"/>
      <c r="M128" s="16"/>
    </row>
    <row r="129" spans="1:25" ht="18.75" x14ac:dyDescent="0.35">
      <c r="B129" s="16" t="s">
        <v>5</v>
      </c>
      <c r="C129" s="16"/>
      <c r="D129" s="16"/>
      <c r="E129" s="16"/>
      <c r="F129" s="16"/>
      <c r="G129" s="16"/>
      <c r="H129" s="147" t="s">
        <v>192</v>
      </c>
      <c r="I129" s="147"/>
      <c r="J129" s="16" t="s">
        <v>200</v>
      </c>
      <c r="K129" s="16"/>
      <c r="L129" s="16"/>
      <c r="M129" s="16"/>
    </row>
    <row r="130" spans="1:25" ht="19.5" customHeight="1" x14ac:dyDescent="0.25">
      <c r="B130" s="16"/>
      <c r="C130" s="16"/>
      <c r="D130" s="16"/>
      <c r="E130" s="16"/>
      <c r="F130" s="16"/>
      <c r="G130" s="16"/>
      <c r="H130" s="147" t="s">
        <v>192</v>
      </c>
      <c r="I130" s="147"/>
      <c r="J130" s="19" t="s">
        <v>412</v>
      </c>
      <c r="K130" s="16"/>
      <c r="L130" s="16"/>
      <c r="M130" s="16"/>
    </row>
    <row r="131" spans="1:25" ht="20.25" customHeight="1" x14ac:dyDescent="0.25">
      <c r="B131" s="16"/>
      <c r="C131" s="16"/>
      <c r="D131" s="16"/>
      <c r="E131" s="16"/>
      <c r="F131" s="16"/>
      <c r="G131" s="16"/>
      <c r="H131" s="147" t="s">
        <v>192</v>
      </c>
      <c r="I131" s="147"/>
      <c r="J131" s="19">
        <f>J125+J128</f>
        <v>1316.9891448514259</v>
      </c>
      <c r="K131" s="16" t="s">
        <v>10</v>
      </c>
      <c r="L131" s="16"/>
      <c r="M131" s="16"/>
    </row>
    <row r="132" spans="1:25" s="14" customFormat="1" ht="18.75" customHeight="1" x14ac:dyDescent="0.25">
      <c r="A132" s="157"/>
      <c r="B132" s="215" t="s">
        <v>304</v>
      </c>
      <c r="C132" s="215"/>
      <c r="D132" s="215"/>
      <c r="E132" s="215"/>
      <c r="F132" s="215"/>
      <c r="G132" s="215"/>
      <c r="H132" s="22" t="s">
        <v>192</v>
      </c>
      <c r="I132" s="22"/>
      <c r="J132" s="20">
        <f>J106</f>
        <v>0.7</v>
      </c>
      <c r="U132" s="44"/>
      <c r="W132" s="21"/>
      <c r="Y132" s="21"/>
    </row>
    <row r="133" spans="1:25" s="14" customFormat="1" ht="15.75" customHeight="1" x14ac:dyDescent="0.25">
      <c r="A133" s="157"/>
      <c r="B133" s="196"/>
      <c r="C133" s="196"/>
      <c r="D133" s="196"/>
      <c r="E133" s="196"/>
      <c r="F133" s="196"/>
      <c r="G133" s="196"/>
      <c r="H133" s="22"/>
      <c r="I133" s="22"/>
      <c r="J133" s="20"/>
      <c r="U133" s="44"/>
      <c r="W133" s="21"/>
      <c r="Y133" s="21"/>
    </row>
    <row r="134" spans="1:25" ht="21" customHeight="1" x14ac:dyDescent="0.25">
      <c r="A134" s="157" t="s">
        <v>197</v>
      </c>
      <c r="B134" s="63" t="s">
        <v>227</v>
      </c>
      <c r="C134" s="135"/>
      <c r="D134" s="135"/>
      <c r="E134" s="88"/>
      <c r="F134" s="88"/>
      <c r="G134" s="129"/>
      <c r="H134" s="105"/>
      <c r="I134" s="105"/>
      <c r="J134" s="111"/>
    </row>
    <row r="135" spans="1:25" ht="20.25" customHeight="1" x14ac:dyDescent="0.25">
      <c r="A135" s="157"/>
      <c r="B135" s="13" t="s">
        <v>227</v>
      </c>
      <c r="C135" s="14"/>
      <c r="D135" s="14"/>
      <c r="E135" s="14"/>
      <c r="F135" s="14"/>
      <c r="G135" s="14"/>
      <c r="H135" s="22" t="s">
        <v>192</v>
      </c>
      <c r="I135" s="22"/>
      <c r="J135" s="20" t="s">
        <v>413</v>
      </c>
      <c r="K135" s="14"/>
      <c r="L135" s="14"/>
      <c r="M135" s="14"/>
    </row>
    <row r="136" spans="1:25" s="16" customFormat="1" ht="20.25" customHeight="1" x14ac:dyDescent="0.25">
      <c r="A136" s="190"/>
      <c r="H136" s="112" t="s">
        <v>192</v>
      </c>
      <c r="I136" s="147"/>
      <c r="J136" s="19">
        <f>J83-J116</f>
        <v>1726.7008928231485</v>
      </c>
      <c r="K136" s="16" t="s">
        <v>54</v>
      </c>
      <c r="U136" s="35"/>
    </row>
    <row r="137" spans="1:25" ht="17.25" customHeight="1" x14ac:dyDescent="0.25">
      <c r="B137" s="14" t="s">
        <v>167</v>
      </c>
      <c r="C137" s="14"/>
      <c r="D137" s="14"/>
      <c r="E137" s="14"/>
      <c r="F137" s="14"/>
      <c r="G137" s="14"/>
      <c r="H137" s="22" t="s">
        <v>192</v>
      </c>
      <c r="I137" s="22"/>
      <c r="J137" s="14" t="s">
        <v>151</v>
      </c>
      <c r="K137" s="14"/>
      <c r="L137" s="14"/>
      <c r="M137" s="14"/>
      <c r="N137" s="14"/>
      <c r="O137" s="34"/>
      <c r="P137" s="34"/>
      <c r="Q137" s="34"/>
    </row>
    <row r="138" spans="1:25" ht="17.25" customHeight="1" x14ac:dyDescent="0.25">
      <c r="B138" s="14"/>
      <c r="C138" s="14"/>
      <c r="D138" s="14"/>
      <c r="E138" s="14"/>
      <c r="F138" s="14"/>
      <c r="G138" s="14"/>
      <c r="H138" s="22" t="s">
        <v>192</v>
      </c>
      <c r="I138" s="22"/>
      <c r="J138" s="22" t="s">
        <v>414</v>
      </c>
      <c r="K138" s="135"/>
      <c r="L138" s="135"/>
      <c r="M138" s="135"/>
      <c r="N138" s="135"/>
      <c r="O138" s="34"/>
      <c r="P138" s="34"/>
      <c r="Q138" s="34"/>
    </row>
    <row r="139" spans="1:25" x14ac:dyDescent="0.25">
      <c r="B139" s="14"/>
      <c r="C139" s="14"/>
      <c r="D139" s="14"/>
      <c r="E139" s="14"/>
      <c r="F139" s="14"/>
      <c r="G139" s="14"/>
      <c r="H139" s="22" t="s">
        <v>192</v>
      </c>
      <c r="I139" s="22"/>
      <c r="J139" s="20">
        <f>J88-J113</f>
        <v>1662.1919999999991</v>
      </c>
      <c r="K139" s="14" t="s">
        <v>10</v>
      </c>
      <c r="L139" s="14"/>
      <c r="M139" s="14"/>
      <c r="N139" s="14"/>
    </row>
    <row r="140" spans="1:25" ht="18.75" customHeight="1" x14ac:dyDescent="0.25">
      <c r="B140" s="14" t="s">
        <v>64</v>
      </c>
      <c r="C140" s="14"/>
      <c r="D140" s="14"/>
      <c r="E140" s="14"/>
      <c r="F140" s="14"/>
      <c r="G140" s="14"/>
      <c r="H140" s="22" t="s">
        <v>192</v>
      </c>
      <c r="I140" s="22"/>
      <c r="J140" s="215" t="s">
        <v>150</v>
      </c>
      <c r="K140" s="215"/>
      <c r="L140" s="215"/>
      <c r="M140" s="215"/>
      <c r="N140" s="32"/>
      <c r="O140" s="34"/>
      <c r="P140" s="34"/>
      <c r="Q140" s="34"/>
    </row>
    <row r="141" spans="1:25" ht="18.75" customHeight="1" x14ac:dyDescent="0.25">
      <c r="B141" s="14"/>
      <c r="C141" s="14"/>
      <c r="D141" s="14"/>
      <c r="E141" s="14"/>
      <c r="F141" s="14"/>
      <c r="G141" s="14"/>
      <c r="H141" s="22" t="s">
        <v>192</v>
      </c>
      <c r="I141" s="22"/>
      <c r="J141" s="22" t="s">
        <v>452</v>
      </c>
      <c r="K141" s="135"/>
      <c r="L141" s="135"/>
      <c r="M141" s="135"/>
      <c r="N141" s="135"/>
      <c r="O141" s="34"/>
      <c r="P141" s="34"/>
      <c r="Q141" s="34"/>
    </row>
    <row r="142" spans="1:25" ht="16.5" customHeight="1" x14ac:dyDescent="0.25">
      <c r="B142" s="14"/>
      <c r="C142" s="14"/>
      <c r="D142" s="14"/>
      <c r="E142" s="14"/>
      <c r="F142" s="14"/>
      <c r="G142" s="14"/>
      <c r="H142" s="22" t="s">
        <v>192</v>
      </c>
      <c r="I142" s="22"/>
      <c r="J142" s="20">
        <f>J91-J119</f>
        <v>919.93405514705955</v>
      </c>
      <c r="K142" s="14" t="s">
        <v>10</v>
      </c>
      <c r="L142" s="14"/>
      <c r="N142" s="14"/>
    </row>
    <row r="143" spans="1:25" ht="21" customHeight="1" x14ac:dyDescent="0.25">
      <c r="B143" s="14" t="s">
        <v>4</v>
      </c>
      <c r="C143" s="14"/>
      <c r="D143" s="14"/>
      <c r="E143" s="14"/>
      <c r="F143" s="14"/>
      <c r="G143" s="14"/>
      <c r="H143" s="22" t="s">
        <v>192</v>
      </c>
      <c r="I143" s="22"/>
      <c r="J143" s="14" t="s">
        <v>149</v>
      </c>
      <c r="K143" s="32"/>
      <c r="L143" s="32"/>
      <c r="M143" s="32"/>
      <c r="N143" s="32"/>
      <c r="O143" s="34"/>
      <c r="P143" s="34"/>
      <c r="Q143" s="34"/>
    </row>
    <row r="144" spans="1:25" ht="21" customHeight="1" x14ac:dyDescent="0.25">
      <c r="B144" s="14"/>
      <c r="C144" s="14"/>
      <c r="D144" s="14"/>
      <c r="E144" s="14"/>
      <c r="F144" s="14"/>
      <c r="G144" s="14"/>
      <c r="H144" s="22" t="s">
        <v>192</v>
      </c>
      <c r="I144" s="22"/>
      <c r="J144" s="14" t="s">
        <v>229</v>
      </c>
      <c r="K144" s="135"/>
      <c r="L144" s="135"/>
      <c r="M144" s="135"/>
      <c r="N144" s="135"/>
      <c r="O144" s="34"/>
      <c r="P144" s="34"/>
      <c r="Q144" s="34"/>
    </row>
    <row r="145" spans="1:14" ht="18" customHeight="1" x14ac:dyDescent="0.25">
      <c r="B145" s="14"/>
      <c r="C145" s="14"/>
      <c r="D145" s="14"/>
      <c r="E145" s="14"/>
      <c r="F145" s="14"/>
      <c r="G145" s="14"/>
      <c r="H145" s="22" t="s">
        <v>192</v>
      </c>
      <c r="I145" s="22"/>
      <c r="J145" s="20">
        <f>J94-J122</f>
        <v>30.32000000000005</v>
      </c>
      <c r="K145" s="14" t="s">
        <v>10</v>
      </c>
      <c r="L145" s="14"/>
      <c r="M145" s="14"/>
      <c r="N145" s="14"/>
    </row>
    <row r="146" spans="1:14" ht="21" customHeight="1" x14ac:dyDescent="0.25">
      <c r="B146" s="14" t="s">
        <v>170</v>
      </c>
      <c r="C146" s="14"/>
      <c r="D146" s="14"/>
      <c r="E146" s="14"/>
      <c r="F146" s="14"/>
      <c r="G146" s="14"/>
      <c r="H146" s="22" t="s">
        <v>192</v>
      </c>
      <c r="I146" s="22"/>
      <c r="J146" s="14" t="s">
        <v>148</v>
      </c>
      <c r="K146" s="14"/>
      <c r="L146" s="14"/>
      <c r="M146" s="14"/>
      <c r="N146" s="14"/>
    </row>
    <row r="147" spans="1:14" ht="21" customHeight="1" x14ac:dyDescent="0.25">
      <c r="B147" s="14"/>
      <c r="C147" s="14"/>
      <c r="D147" s="14"/>
      <c r="E147" s="14"/>
      <c r="F147" s="14"/>
      <c r="G147" s="14"/>
      <c r="H147" s="22" t="s">
        <v>192</v>
      </c>
      <c r="I147" s="22"/>
      <c r="J147" s="14" t="s">
        <v>415</v>
      </c>
      <c r="K147" s="14"/>
      <c r="L147" s="14"/>
      <c r="M147" s="14"/>
      <c r="N147" s="14"/>
    </row>
    <row r="148" spans="1:14" ht="17.25" customHeight="1" x14ac:dyDescent="0.25">
      <c r="H148" s="22" t="s">
        <v>192</v>
      </c>
      <c r="J148" s="15">
        <f>J97-J125</f>
        <v>69.299999999999955</v>
      </c>
      <c r="K148" s="13" t="s">
        <v>10</v>
      </c>
    </row>
    <row r="149" spans="1:14" ht="20.25" customHeight="1" x14ac:dyDescent="0.35">
      <c r="B149" s="121" t="s">
        <v>169</v>
      </c>
      <c r="C149" s="121"/>
      <c r="D149" s="121"/>
      <c r="E149" s="121"/>
      <c r="F149" s="121"/>
      <c r="G149" s="121"/>
      <c r="H149" s="112" t="s">
        <v>192</v>
      </c>
      <c r="I149" s="147"/>
      <c r="J149" s="121" t="s">
        <v>184</v>
      </c>
      <c r="K149" s="121"/>
      <c r="L149" s="121"/>
      <c r="M149" s="121"/>
    </row>
    <row r="150" spans="1:14" ht="20.25" customHeight="1" x14ac:dyDescent="0.25">
      <c r="B150" s="121"/>
      <c r="C150" s="121"/>
      <c r="D150" s="121"/>
      <c r="E150" s="121"/>
      <c r="F150" s="121"/>
      <c r="G150" s="121"/>
      <c r="H150" s="112" t="s">
        <v>192</v>
      </c>
      <c r="I150" s="147"/>
      <c r="J150" s="121" t="s">
        <v>416</v>
      </c>
      <c r="K150" s="121"/>
      <c r="L150" s="121"/>
      <c r="M150" s="121"/>
    </row>
    <row r="151" spans="1:14" ht="19.5" customHeight="1" x14ac:dyDescent="0.25">
      <c r="B151" s="121"/>
      <c r="C151" s="121"/>
      <c r="D151" s="121"/>
      <c r="E151" s="121"/>
      <c r="F151" s="121"/>
      <c r="G151" s="121"/>
      <c r="H151" s="112" t="s">
        <v>192</v>
      </c>
      <c r="I151" s="147"/>
      <c r="J151" s="96">
        <f>J100-J128</f>
        <v>1.3108551485740998</v>
      </c>
      <c r="K151" s="121" t="s">
        <v>10</v>
      </c>
      <c r="L151" s="121"/>
      <c r="M151" s="121"/>
    </row>
    <row r="152" spans="1:14" ht="18" customHeight="1" x14ac:dyDescent="0.25">
      <c r="B152" s="21" t="s">
        <v>5</v>
      </c>
      <c r="C152" s="21"/>
      <c r="D152" s="21"/>
      <c r="E152" s="21"/>
      <c r="F152" s="21"/>
      <c r="G152" s="21"/>
      <c r="H152" s="147" t="s">
        <v>192</v>
      </c>
      <c r="I152" s="112"/>
      <c r="J152" s="98" t="s">
        <v>144</v>
      </c>
      <c r="K152" s="21"/>
      <c r="L152" s="21"/>
      <c r="M152" s="21"/>
      <c r="N152" s="14"/>
    </row>
    <row r="153" spans="1:14" ht="18" customHeight="1" x14ac:dyDescent="0.25">
      <c r="B153" s="21"/>
      <c r="C153" s="21"/>
      <c r="D153" s="21"/>
      <c r="E153" s="21"/>
      <c r="F153" s="21"/>
      <c r="G153" s="21"/>
      <c r="H153" s="147" t="s">
        <v>192</v>
      </c>
      <c r="I153" s="112"/>
      <c r="J153" s="98" t="s">
        <v>417</v>
      </c>
      <c r="K153" s="21"/>
      <c r="L153" s="21"/>
      <c r="M153" s="21"/>
      <c r="N153" s="14"/>
    </row>
    <row r="154" spans="1:14" ht="18.75" customHeight="1" x14ac:dyDescent="0.25">
      <c r="B154" s="16"/>
      <c r="C154" s="16"/>
      <c r="D154" s="16"/>
      <c r="E154" s="16"/>
      <c r="F154" s="16"/>
      <c r="G154" s="16"/>
      <c r="H154" s="147" t="s">
        <v>192</v>
      </c>
      <c r="I154" s="147"/>
      <c r="J154" s="98">
        <f>J148+J151</f>
        <v>70.610855148574061</v>
      </c>
      <c r="K154" s="21" t="s">
        <v>10</v>
      </c>
      <c r="L154" s="16"/>
      <c r="M154" s="16"/>
    </row>
    <row r="155" spans="1:14" ht="12" customHeight="1" x14ac:dyDescent="0.25">
      <c r="B155" s="16"/>
      <c r="C155" s="16"/>
      <c r="D155" s="16"/>
      <c r="E155" s="16"/>
      <c r="F155" s="16"/>
      <c r="G155" s="16"/>
      <c r="H155" s="147"/>
      <c r="I155" s="147"/>
      <c r="J155" s="16"/>
      <c r="K155" s="16"/>
      <c r="L155" s="16"/>
      <c r="M155" s="16"/>
    </row>
    <row r="156" spans="1:14" ht="20.25" customHeight="1" x14ac:dyDescent="0.25">
      <c r="A156" s="157">
        <v>2.4</v>
      </c>
      <c r="B156" s="117" t="s">
        <v>44</v>
      </c>
      <c r="C156" s="12"/>
      <c r="D156" s="12"/>
      <c r="E156" s="12"/>
      <c r="H156" s="165"/>
      <c r="I156" s="165"/>
      <c r="J156" s="40"/>
    </row>
    <row r="157" spans="1:14" ht="11.25" customHeight="1" x14ac:dyDescent="0.25">
      <c r="A157" s="153"/>
      <c r="B157" s="38"/>
      <c r="C157" s="41"/>
      <c r="D157" s="41"/>
      <c r="E157" s="41"/>
      <c r="F157" s="40"/>
      <c r="G157" s="40"/>
      <c r="H157" s="148"/>
      <c r="I157" s="148"/>
      <c r="J157" s="40"/>
    </row>
    <row r="158" spans="1:14" ht="27.75" customHeight="1" x14ac:dyDescent="0.25">
      <c r="A158" s="153" t="s">
        <v>197</v>
      </c>
      <c r="B158" s="37" t="s">
        <v>230</v>
      </c>
      <c r="C158" s="41"/>
      <c r="D158" s="41"/>
      <c r="E158" s="41"/>
      <c r="F158" s="40"/>
      <c r="G158" s="40"/>
      <c r="H158" s="148"/>
      <c r="I158" s="148"/>
      <c r="J158" s="40"/>
    </row>
    <row r="159" spans="1:14" ht="18" customHeight="1" x14ac:dyDescent="0.25">
      <c r="B159" s="14" t="s">
        <v>19</v>
      </c>
      <c r="C159" s="14"/>
      <c r="D159" s="14"/>
      <c r="E159" s="14"/>
      <c r="F159" s="14"/>
      <c r="G159" s="14"/>
      <c r="H159" s="22" t="s">
        <v>192</v>
      </c>
      <c r="I159" s="22"/>
      <c r="J159" s="21">
        <v>60</v>
      </c>
      <c r="K159" s="14" t="s">
        <v>20</v>
      </c>
      <c r="L159" s="14"/>
      <c r="M159" s="14"/>
      <c r="N159" s="14"/>
    </row>
    <row r="160" spans="1:14" ht="17.25" customHeight="1" x14ac:dyDescent="0.25">
      <c r="B160" s="14" t="s">
        <v>2</v>
      </c>
      <c r="C160" s="14"/>
      <c r="D160" s="14"/>
      <c r="E160" s="14"/>
      <c r="F160" s="14"/>
      <c r="G160" s="14"/>
      <c r="H160" s="22" t="s">
        <v>192</v>
      </c>
      <c r="I160" s="22"/>
      <c r="J160" s="21">
        <v>400</v>
      </c>
      <c r="K160" s="14" t="s">
        <v>195</v>
      </c>
      <c r="L160" s="14">
        <f>J160*J159</f>
        <v>24000</v>
      </c>
      <c r="M160" s="14" t="s">
        <v>10</v>
      </c>
    </row>
    <row r="161" spans="1:21" ht="18.75" x14ac:dyDescent="0.25">
      <c r="B161" s="14" t="s">
        <v>64</v>
      </c>
      <c r="C161" s="14"/>
      <c r="D161" s="14"/>
      <c r="E161" s="14"/>
      <c r="F161" s="14"/>
      <c r="G161" s="14"/>
      <c r="H161" s="22" t="s">
        <v>192</v>
      </c>
      <c r="I161" s="22"/>
      <c r="J161" s="21">
        <v>350</v>
      </c>
      <c r="K161" s="14" t="s">
        <v>195</v>
      </c>
      <c r="L161" s="14">
        <f>J161*J159</f>
        <v>21000</v>
      </c>
      <c r="M161" s="14" t="s">
        <v>10</v>
      </c>
    </row>
    <row r="162" spans="1:21" ht="17.25" customHeight="1" x14ac:dyDescent="0.25">
      <c r="B162" s="14" t="s">
        <v>4</v>
      </c>
      <c r="C162" s="14"/>
      <c r="D162" s="14"/>
      <c r="E162" s="14"/>
      <c r="F162" s="14"/>
      <c r="G162" s="14"/>
      <c r="H162" s="22" t="s">
        <v>192</v>
      </c>
      <c r="I162" s="22"/>
      <c r="J162" s="21">
        <v>7</v>
      </c>
      <c r="K162" s="14" t="s">
        <v>195</v>
      </c>
      <c r="L162" s="14">
        <f>J162*J159</f>
        <v>420</v>
      </c>
      <c r="M162" s="14" t="s">
        <v>10</v>
      </c>
    </row>
    <row r="163" spans="1:21" ht="17.25" customHeight="1" x14ac:dyDescent="0.25">
      <c r="B163" s="14" t="s">
        <v>3</v>
      </c>
      <c r="C163" s="14"/>
      <c r="D163" s="14"/>
      <c r="E163" s="14"/>
      <c r="F163" s="14"/>
      <c r="G163" s="14"/>
      <c r="H163" s="22" t="s">
        <v>192</v>
      </c>
      <c r="I163" s="22"/>
      <c r="J163" s="21">
        <v>10</v>
      </c>
      <c r="K163" s="14" t="s">
        <v>195</v>
      </c>
      <c r="L163" s="14">
        <f>J163*J159</f>
        <v>600</v>
      </c>
      <c r="M163" s="14" t="s">
        <v>10</v>
      </c>
    </row>
    <row r="164" spans="1:21" ht="18.75" x14ac:dyDescent="0.25">
      <c r="B164" s="14" t="s">
        <v>145</v>
      </c>
      <c r="C164" s="14"/>
      <c r="D164" s="14"/>
      <c r="E164" s="14"/>
      <c r="F164" s="14"/>
      <c r="G164" s="14"/>
      <c r="H164" s="22" t="s">
        <v>192</v>
      </c>
      <c r="I164" s="22"/>
      <c r="J164" s="21">
        <v>50</v>
      </c>
      <c r="K164" s="14" t="s">
        <v>195</v>
      </c>
      <c r="L164" s="14">
        <f>J164*J159</f>
        <v>3000</v>
      </c>
      <c r="M164" s="14" t="s">
        <v>10</v>
      </c>
    </row>
    <row r="165" spans="1:21" ht="17.25" customHeight="1" x14ac:dyDescent="0.25">
      <c r="B165" s="14" t="s">
        <v>5</v>
      </c>
      <c r="C165" s="14"/>
      <c r="D165" s="14"/>
      <c r="E165" s="14"/>
      <c r="F165" s="14"/>
      <c r="G165" s="14"/>
      <c r="H165" s="22" t="s">
        <v>192</v>
      </c>
      <c r="I165" s="22"/>
      <c r="J165" s="21">
        <v>60</v>
      </c>
      <c r="K165" s="14" t="s">
        <v>195</v>
      </c>
      <c r="L165" s="14">
        <f>J165*J159</f>
        <v>3600</v>
      </c>
      <c r="M165" s="14" t="s">
        <v>10</v>
      </c>
    </row>
    <row r="166" spans="1:21" ht="17.25" customHeight="1" x14ac:dyDescent="0.25">
      <c r="B166" s="14" t="s">
        <v>176</v>
      </c>
      <c r="C166" s="14"/>
      <c r="D166" s="14"/>
      <c r="E166" s="14"/>
      <c r="F166" s="14"/>
      <c r="G166" s="14"/>
      <c r="H166" s="22" t="s">
        <v>192</v>
      </c>
      <c r="I166" s="22"/>
      <c r="J166" s="21">
        <v>280</v>
      </c>
      <c r="K166" s="14" t="s">
        <v>18</v>
      </c>
      <c r="L166" s="14"/>
      <c r="M166" s="14"/>
    </row>
    <row r="167" spans="1:21" ht="17.25" customHeight="1" x14ac:dyDescent="0.25">
      <c r="B167" s="215" t="s">
        <v>304</v>
      </c>
      <c r="C167" s="215"/>
      <c r="D167" s="215"/>
      <c r="E167" s="215"/>
      <c r="F167" s="215"/>
      <c r="G167" s="14"/>
      <c r="H167" s="22" t="s">
        <v>192</v>
      </c>
      <c r="I167" s="22"/>
      <c r="J167" s="21" t="s">
        <v>291</v>
      </c>
      <c r="K167" s="14"/>
      <c r="L167" s="14"/>
      <c r="M167" s="14"/>
    </row>
    <row r="168" spans="1:21" ht="17.25" customHeight="1" x14ac:dyDescent="0.25">
      <c r="B168" s="135"/>
      <c r="C168" s="135"/>
      <c r="D168" s="135"/>
      <c r="E168" s="135"/>
      <c r="F168" s="135"/>
      <c r="G168" s="14"/>
      <c r="H168" s="22" t="s">
        <v>192</v>
      </c>
      <c r="I168" s="22"/>
      <c r="J168" s="21">
        <f>J166/J160</f>
        <v>0.7</v>
      </c>
      <c r="K168" s="14"/>
      <c r="L168" s="14"/>
      <c r="M168" s="14"/>
    </row>
    <row r="169" spans="1:21" x14ac:dyDescent="0.25">
      <c r="J169" s="16"/>
    </row>
    <row r="170" spans="1:21" ht="31.5" customHeight="1" x14ac:dyDescent="0.25">
      <c r="A170" s="157" t="s">
        <v>197</v>
      </c>
      <c r="B170" s="37" t="s">
        <v>234</v>
      </c>
      <c r="J170" s="16"/>
    </row>
    <row r="171" spans="1:21" x14ac:dyDescent="0.25">
      <c r="B171" s="14" t="s">
        <v>147</v>
      </c>
      <c r="C171" s="14"/>
      <c r="D171" s="14"/>
      <c r="E171" s="14"/>
      <c r="F171" s="14"/>
      <c r="G171" s="14"/>
      <c r="H171" s="22"/>
      <c r="I171" s="22"/>
      <c r="J171" s="21"/>
      <c r="K171" s="14"/>
      <c r="L171" s="14"/>
      <c r="M171" s="14"/>
    </row>
    <row r="172" spans="1:21" x14ac:dyDescent="0.25">
      <c r="B172" s="14" t="s">
        <v>27</v>
      </c>
      <c r="C172" s="14"/>
      <c r="D172" s="14"/>
      <c r="E172" s="14"/>
      <c r="F172" s="14"/>
      <c r="G172" s="14"/>
      <c r="H172" s="22" t="s">
        <v>192</v>
      </c>
      <c r="I172" s="22"/>
      <c r="J172" s="21" t="s">
        <v>306</v>
      </c>
      <c r="K172" s="14"/>
      <c r="L172" s="14"/>
      <c r="M172" s="14"/>
    </row>
    <row r="173" spans="1:21" ht="18" customHeight="1" x14ac:dyDescent="0.25">
      <c r="B173" s="14"/>
      <c r="C173" s="14"/>
      <c r="D173" s="14"/>
      <c r="E173" s="14"/>
      <c r="F173" s="14"/>
      <c r="G173" s="14"/>
      <c r="H173" s="22" t="s">
        <v>192</v>
      </c>
      <c r="I173" s="22"/>
      <c r="J173" s="21" t="s">
        <v>305</v>
      </c>
      <c r="K173" s="14"/>
      <c r="L173" s="14"/>
      <c r="M173" s="14"/>
    </row>
    <row r="174" spans="1:21" ht="17.25" customHeight="1" x14ac:dyDescent="0.25">
      <c r="B174" s="14"/>
      <c r="C174" s="14"/>
      <c r="D174" s="14"/>
      <c r="E174" s="14"/>
      <c r="F174" s="14"/>
      <c r="G174" s="14"/>
      <c r="H174" s="22" t="s">
        <v>192</v>
      </c>
      <c r="I174" s="22"/>
      <c r="J174" s="21">
        <f>0.6*L160</f>
        <v>14400</v>
      </c>
      <c r="K174" s="14" t="s">
        <v>10</v>
      </c>
      <c r="L174" s="14"/>
      <c r="M174" s="14"/>
    </row>
    <row r="175" spans="1:21" ht="16.5" customHeight="1" x14ac:dyDescent="0.25">
      <c r="B175" s="13" t="s">
        <v>224</v>
      </c>
      <c r="H175" s="30" t="s">
        <v>192</v>
      </c>
      <c r="J175" s="16">
        <v>1.03</v>
      </c>
      <c r="L175" s="14"/>
      <c r="M175" s="14"/>
    </row>
    <row r="176" spans="1:21" s="16" customFormat="1" ht="18" customHeight="1" x14ac:dyDescent="0.25">
      <c r="A176" s="154"/>
      <c r="B176" s="16" t="s">
        <v>225</v>
      </c>
      <c r="H176" s="147" t="s">
        <v>192</v>
      </c>
      <c r="I176" s="147"/>
      <c r="J176" s="16">
        <v>4</v>
      </c>
      <c r="K176" s="16" t="s">
        <v>47</v>
      </c>
      <c r="L176" s="21"/>
      <c r="M176" s="21"/>
      <c r="U176" s="35"/>
    </row>
    <row r="177" spans="2:14" ht="18.75" x14ac:dyDescent="0.25">
      <c r="B177" s="13" t="s">
        <v>397</v>
      </c>
      <c r="H177" s="30" t="s">
        <v>192</v>
      </c>
      <c r="J177" s="15">
        <f>J174/(J176*10*J175)</f>
        <v>349.51456310679612</v>
      </c>
      <c r="K177" s="13" t="s">
        <v>54</v>
      </c>
      <c r="L177" s="14"/>
      <c r="M177" s="14"/>
    </row>
    <row r="178" spans="2:14" ht="18.75" x14ac:dyDescent="0.25">
      <c r="B178" s="14" t="s">
        <v>156</v>
      </c>
      <c r="C178" s="14"/>
      <c r="D178" s="14"/>
      <c r="E178" s="14"/>
      <c r="F178" s="14"/>
      <c r="G178" s="14"/>
      <c r="H178" s="22"/>
      <c r="I178" s="22"/>
      <c r="J178" s="21"/>
      <c r="K178" s="14"/>
      <c r="L178" s="14"/>
      <c r="M178" s="14"/>
    </row>
    <row r="179" spans="2:14" ht="18.75" x14ac:dyDescent="0.25">
      <c r="B179" s="14" t="s">
        <v>58</v>
      </c>
      <c r="C179" s="14"/>
      <c r="D179" s="14"/>
      <c r="E179" s="14"/>
      <c r="F179" s="14"/>
      <c r="G179" s="14"/>
      <c r="H179" s="22" t="s">
        <v>192</v>
      </c>
      <c r="I179" s="22"/>
      <c r="J179" s="21" t="s">
        <v>294</v>
      </c>
      <c r="K179" s="14"/>
      <c r="L179" s="14"/>
      <c r="M179" s="14"/>
    </row>
    <row r="180" spans="2:14" x14ac:dyDescent="0.25">
      <c r="B180" s="14"/>
      <c r="C180" s="14"/>
      <c r="D180" s="14"/>
      <c r="E180" s="14"/>
      <c r="F180" s="14"/>
      <c r="G180" s="14"/>
      <c r="H180" s="22" t="s">
        <v>192</v>
      </c>
      <c r="I180" s="22"/>
      <c r="J180" s="21" t="s">
        <v>307</v>
      </c>
      <c r="K180" s="14"/>
      <c r="L180" s="14"/>
      <c r="M180" s="14"/>
    </row>
    <row r="181" spans="2:14" x14ac:dyDescent="0.25">
      <c r="B181" s="14"/>
      <c r="C181" s="14"/>
      <c r="D181" s="14"/>
      <c r="E181" s="14"/>
      <c r="F181" s="14"/>
      <c r="G181" s="14"/>
      <c r="H181" s="22" t="s">
        <v>192</v>
      </c>
      <c r="I181" s="22"/>
      <c r="J181" s="21">
        <f>0.35*L161</f>
        <v>7349.9999999999991</v>
      </c>
      <c r="K181" s="14" t="s">
        <v>10</v>
      </c>
      <c r="L181" s="14"/>
    </row>
    <row r="182" spans="2:14" x14ac:dyDescent="0.25">
      <c r="B182" s="14" t="s">
        <v>31</v>
      </c>
      <c r="C182" s="14"/>
      <c r="D182" s="14"/>
      <c r="E182" s="14"/>
      <c r="F182" s="14"/>
      <c r="G182" s="14"/>
      <c r="H182" s="22"/>
      <c r="I182" s="22"/>
      <c r="J182" s="21"/>
      <c r="K182" s="14"/>
      <c r="L182" s="14"/>
    </row>
    <row r="183" spans="2:14" x14ac:dyDescent="0.25">
      <c r="B183" s="14" t="s">
        <v>23</v>
      </c>
      <c r="C183" s="14"/>
      <c r="D183" s="14"/>
      <c r="E183" s="14"/>
      <c r="F183" s="14"/>
      <c r="G183" s="14"/>
      <c r="H183" s="22" t="s">
        <v>192</v>
      </c>
      <c r="I183" s="22"/>
      <c r="J183" s="21" t="s">
        <v>308</v>
      </c>
      <c r="K183" s="14"/>
      <c r="L183" s="14"/>
    </row>
    <row r="184" spans="2:14" x14ac:dyDescent="0.25">
      <c r="B184" s="14"/>
      <c r="C184" s="14"/>
      <c r="D184" s="14"/>
      <c r="E184" s="14"/>
      <c r="F184" s="14"/>
      <c r="G184" s="14"/>
      <c r="H184" s="22" t="s">
        <v>192</v>
      </c>
      <c r="I184" s="22"/>
      <c r="J184" s="21" t="s">
        <v>309</v>
      </c>
      <c r="K184" s="14"/>
      <c r="L184" s="14"/>
    </row>
    <row r="185" spans="2:14" x14ac:dyDescent="0.25">
      <c r="B185" s="14"/>
      <c r="C185" s="14"/>
      <c r="D185" s="14"/>
      <c r="E185" s="14"/>
      <c r="F185" s="14"/>
      <c r="G185" s="14"/>
      <c r="H185" s="22" t="s">
        <v>192</v>
      </c>
      <c r="I185" s="22"/>
      <c r="J185" s="21">
        <f>0.1*L162</f>
        <v>42</v>
      </c>
      <c r="K185" s="14" t="s">
        <v>10</v>
      </c>
      <c r="L185" s="14"/>
    </row>
    <row r="186" spans="2:14" x14ac:dyDescent="0.25">
      <c r="B186" s="14" t="s">
        <v>177</v>
      </c>
      <c r="C186" s="14"/>
      <c r="D186" s="14"/>
      <c r="E186" s="14"/>
      <c r="F186" s="14"/>
      <c r="G186" s="14"/>
      <c r="H186" s="22"/>
      <c r="I186" s="22"/>
      <c r="J186" s="21"/>
      <c r="K186" s="14"/>
      <c r="L186" s="14"/>
      <c r="M186" s="14"/>
      <c r="N186" s="14"/>
    </row>
    <row r="187" spans="2:14" x14ac:dyDescent="0.25">
      <c r="B187" s="14" t="s">
        <v>45</v>
      </c>
      <c r="C187" s="14"/>
      <c r="D187" s="14"/>
      <c r="E187" s="14"/>
      <c r="F187" s="14"/>
      <c r="G187" s="14"/>
      <c r="H187" s="22" t="s">
        <v>192</v>
      </c>
      <c r="I187" s="22"/>
      <c r="J187" s="21" t="s">
        <v>310</v>
      </c>
      <c r="K187" s="14"/>
      <c r="L187" s="14"/>
      <c r="M187" s="14"/>
      <c r="N187" s="14"/>
    </row>
    <row r="188" spans="2:14" x14ac:dyDescent="0.25">
      <c r="B188" s="14"/>
      <c r="C188" s="14"/>
      <c r="D188" s="14"/>
      <c r="E188" s="14"/>
      <c r="F188" s="14"/>
      <c r="G188" s="14"/>
      <c r="H188" s="22" t="s">
        <v>192</v>
      </c>
      <c r="I188" s="22"/>
      <c r="J188" s="21" t="s">
        <v>311</v>
      </c>
      <c r="K188" s="14"/>
      <c r="L188" s="14"/>
      <c r="M188" s="14"/>
      <c r="N188" s="14"/>
    </row>
    <row r="189" spans="2:14" x14ac:dyDescent="0.25">
      <c r="B189" s="14"/>
      <c r="C189" s="14"/>
      <c r="D189" s="14"/>
      <c r="E189" s="14"/>
      <c r="F189" s="14"/>
      <c r="G189" s="14"/>
      <c r="H189" s="22" t="s">
        <v>192</v>
      </c>
      <c r="I189" s="22"/>
      <c r="J189" s="21">
        <f>0.4*L163</f>
        <v>240</v>
      </c>
      <c r="K189" s="14" t="s">
        <v>10</v>
      </c>
      <c r="L189" s="14"/>
      <c r="M189" s="14"/>
      <c r="N189" s="14"/>
    </row>
    <row r="190" spans="2:14" ht="18.75" x14ac:dyDescent="0.25">
      <c r="B190" s="14" t="s">
        <v>139</v>
      </c>
      <c r="H190" s="13"/>
      <c r="I190" s="13"/>
      <c r="M190" s="14"/>
    </row>
    <row r="191" spans="2:14" ht="18.75" x14ac:dyDescent="0.25">
      <c r="B191" s="14" t="s">
        <v>198</v>
      </c>
      <c r="H191" s="13" t="s">
        <v>192</v>
      </c>
      <c r="I191" s="13"/>
      <c r="J191" s="13">
        <v>0</v>
      </c>
      <c r="K191" s="13" t="s">
        <v>10</v>
      </c>
    </row>
    <row r="192" spans="2:14" ht="18.75" x14ac:dyDescent="0.35">
      <c r="B192" s="13" t="s">
        <v>199</v>
      </c>
      <c r="H192" s="13" t="s">
        <v>192</v>
      </c>
      <c r="I192" s="13"/>
      <c r="J192" s="13" t="s">
        <v>312</v>
      </c>
    </row>
    <row r="193" spans="1:14" x14ac:dyDescent="0.25">
      <c r="H193" s="13" t="s">
        <v>192</v>
      </c>
      <c r="I193" s="13" t="s">
        <v>313</v>
      </c>
      <c r="J193" s="13" t="s">
        <v>369</v>
      </c>
      <c r="M193" s="14"/>
    </row>
    <row r="194" spans="1:14" x14ac:dyDescent="0.25">
      <c r="H194" s="13" t="s">
        <v>192</v>
      </c>
      <c r="I194" s="13"/>
      <c r="J194" s="13">
        <f>J189+J191</f>
        <v>240</v>
      </c>
      <c r="K194" s="13" t="s">
        <v>10</v>
      </c>
      <c r="M194" s="14"/>
    </row>
    <row r="195" spans="1:14" ht="19.5" customHeight="1" x14ac:dyDescent="0.25">
      <c r="B195" s="218" t="s">
        <v>304</v>
      </c>
      <c r="C195" s="218"/>
      <c r="D195" s="218"/>
      <c r="E195" s="218"/>
      <c r="F195" s="218"/>
      <c r="G195" s="127"/>
      <c r="H195" s="139" t="s">
        <v>192</v>
      </c>
      <c r="I195" s="139"/>
      <c r="J195" s="93">
        <f>J46</f>
        <v>0.7</v>
      </c>
      <c r="K195" s="14"/>
      <c r="L195" s="14"/>
      <c r="M195" s="14"/>
    </row>
    <row r="197" spans="1:14" ht="21.75" customHeight="1" x14ac:dyDescent="0.25">
      <c r="A197" s="157" t="s">
        <v>197</v>
      </c>
      <c r="B197" s="37" t="s">
        <v>231</v>
      </c>
      <c r="J197" s="16"/>
    </row>
    <row r="198" spans="1:14" ht="18.75" x14ac:dyDescent="0.25">
      <c r="B198" s="14" t="s">
        <v>46</v>
      </c>
      <c r="C198" s="14"/>
      <c r="D198" s="14"/>
      <c r="E198" s="14"/>
      <c r="F198" s="14"/>
      <c r="G198" s="14"/>
      <c r="H198" s="112" t="s">
        <v>192</v>
      </c>
      <c r="I198" s="112"/>
      <c r="J198" s="14">
        <v>35</v>
      </c>
      <c r="K198" s="14" t="s">
        <v>47</v>
      </c>
      <c r="L198" s="14"/>
      <c r="M198" s="14"/>
    </row>
    <row r="199" spans="1:14" x14ac:dyDescent="0.25">
      <c r="B199" s="14"/>
      <c r="C199" s="14"/>
      <c r="D199" s="14"/>
      <c r="E199" s="14"/>
      <c r="F199" s="14"/>
      <c r="G199" s="14"/>
      <c r="H199" s="112" t="s">
        <v>192</v>
      </c>
      <c r="I199" s="112"/>
      <c r="J199" s="14" t="s">
        <v>314</v>
      </c>
      <c r="K199" s="14"/>
      <c r="L199" s="14"/>
      <c r="M199" s="14"/>
    </row>
    <row r="200" spans="1:14" x14ac:dyDescent="0.25">
      <c r="B200" s="14"/>
      <c r="C200" s="14"/>
      <c r="D200" s="14"/>
      <c r="E200" s="14"/>
      <c r="F200" s="14"/>
      <c r="G200" s="14"/>
      <c r="H200" s="112" t="s">
        <v>192</v>
      </c>
      <c r="I200" s="112"/>
      <c r="J200" s="14">
        <f>(J198/100)*350</f>
        <v>122.49999999999999</v>
      </c>
      <c r="K200" s="14" t="s">
        <v>18</v>
      </c>
      <c r="L200" s="14"/>
      <c r="M200" s="14"/>
    </row>
    <row r="201" spans="1:14" ht="18.75" x14ac:dyDescent="0.25">
      <c r="B201" s="14" t="s">
        <v>49</v>
      </c>
      <c r="C201" s="14"/>
      <c r="D201" s="14"/>
      <c r="E201" s="14"/>
      <c r="F201" s="14"/>
      <c r="G201" s="14"/>
      <c r="H201" s="112" t="s">
        <v>192</v>
      </c>
      <c r="I201" s="112"/>
      <c r="J201" s="14">
        <f>350-J200</f>
        <v>227.5</v>
      </c>
      <c r="K201" s="14" t="s">
        <v>18</v>
      </c>
      <c r="L201" s="14"/>
      <c r="M201" s="14"/>
    </row>
    <row r="202" spans="1:14" ht="18.75" x14ac:dyDescent="0.25">
      <c r="B202" s="14" t="s">
        <v>48</v>
      </c>
      <c r="C202" s="14"/>
      <c r="D202" s="14"/>
      <c r="E202" s="14"/>
      <c r="F202" s="14"/>
      <c r="G202" s="14"/>
      <c r="H202" s="112" t="s">
        <v>192</v>
      </c>
      <c r="I202" s="112"/>
      <c r="J202" s="14">
        <v>10</v>
      </c>
      <c r="K202" s="14" t="s">
        <v>18</v>
      </c>
      <c r="L202" s="14"/>
      <c r="M202" s="14"/>
    </row>
    <row r="203" spans="1:14" ht="18.75" x14ac:dyDescent="0.25">
      <c r="B203" s="14" t="s">
        <v>141</v>
      </c>
      <c r="C203" s="14"/>
      <c r="D203" s="14"/>
      <c r="E203" s="14"/>
      <c r="F203" s="14"/>
      <c r="G203" s="14"/>
      <c r="H203" s="112" t="s">
        <v>192</v>
      </c>
      <c r="I203" s="112"/>
      <c r="J203" s="14" t="s">
        <v>327</v>
      </c>
      <c r="K203" s="14"/>
      <c r="L203" s="14"/>
      <c r="M203" s="14"/>
      <c r="N203" s="14"/>
    </row>
    <row r="204" spans="1:14" x14ac:dyDescent="0.25">
      <c r="B204" s="14"/>
      <c r="C204" s="14"/>
      <c r="D204" s="14"/>
      <c r="E204" s="14"/>
      <c r="F204" s="14"/>
      <c r="G204" s="14"/>
      <c r="H204" s="112" t="s">
        <v>192</v>
      </c>
      <c r="I204" s="112"/>
      <c r="J204" s="14">
        <f>(J201-J202)*J159</f>
        <v>13050</v>
      </c>
      <c r="K204" s="14" t="s">
        <v>10</v>
      </c>
      <c r="L204" s="14"/>
      <c r="M204" s="14"/>
      <c r="N204" s="14"/>
    </row>
    <row r="205" spans="1:14" x14ac:dyDescent="0.25">
      <c r="B205" s="14"/>
      <c r="C205" s="14"/>
      <c r="D205" s="14"/>
      <c r="E205" s="14"/>
      <c r="F205" s="14"/>
      <c r="G205" s="14"/>
      <c r="H205" s="112"/>
      <c r="I205" s="112"/>
      <c r="J205" s="14"/>
      <c r="K205" s="14"/>
      <c r="L205" s="14"/>
      <c r="M205" s="14"/>
      <c r="N205" s="14"/>
    </row>
    <row r="206" spans="1:14" ht="49.5" customHeight="1" x14ac:dyDescent="0.25">
      <c r="B206" s="222" t="s">
        <v>233</v>
      </c>
      <c r="C206" s="222"/>
      <c r="D206" s="222"/>
      <c r="E206" s="222"/>
      <c r="F206" s="222"/>
      <c r="G206" s="222"/>
      <c r="H206" s="222"/>
      <c r="I206" s="222"/>
      <c r="J206" s="222"/>
      <c r="K206" s="222"/>
      <c r="L206" s="222"/>
      <c r="M206" s="222"/>
      <c r="N206" s="152"/>
    </row>
    <row r="207" spans="1:14" ht="16.5" customHeight="1" x14ac:dyDescent="0.25">
      <c r="B207" s="166"/>
      <c r="C207" s="166"/>
      <c r="D207" s="166"/>
      <c r="E207" s="166"/>
      <c r="F207" s="166"/>
      <c r="G207" s="166"/>
      <c r="H207" s="166"/>
      <c r="I207" s="166"/>
      <c r="J207" s="166"/>
      <c r="K207" s="166"/>
      <c r="L207" s="166"/>
      <c r="M207" s="166"/>
      <c r="N207" s="166"/>
    </row>
    <row r="208" spans="1:14" ht="18.75" x14ac:dyDescent="0.25">
      <c r="B208" s="14" t="s">
        <v>50</v>
      </c>
      <c r="C208" s="14"/>
      <c r="D208" s="14"/>
      <c r="E208" s="14"/>
      <c r="F208" s="14"/>
      <c r="G208" s="14"/>
      <c r="H208" s="112" t="s">
        <v>192</v>
      </c>
      <c r="I208" s="112"/>
      <c r="J208" s="14" t="s">
        <v>235</v>
      </c>
      <c r="K208" s="14"/>
      <c r="L208" s="14"/>
      <c r="M208" s="14"/>
      <c r="N208" s="14"/>
    </row>
    <row r="209" spans="2:17" x14ac:dyDescent="0.25">
      <c r="B209" s="14"/>
      <c r="C209" s="14"/>
      <c r="D209" s="14"/>
      <c r="E209" s="14"/>
      <c r="F209" s="14"/>
      <c r="G209" s="14"/>
      <c r="H209" s="112" t="s">
        <v>192</v>
      </c>
      <c r="I209" s="112"/>
      <c r="J209" s="14" t="s">
        <v>232</v>
      </c>
      <c r="K209" s="14"/>
      <c r="L209" s="14"/>
      <c r="M209" s="14"/>
      <c r="N209" s="14"/>
    </row>
    <row r="210" spans="2:17" x14ac:dyDescent="0.25">
      <c r="B210" s="14"/>
      <c r="C210" s="14"/>
      <c r="D210" s="14"/>
      <c r="E210" s="14"/>
      <c r="F210" s="14"/>
      <c r="G210" s="14"/>
      <c r="H210" s="112" t="s">
        <v>192</v>
      </c>
      <c r="I210" s="112"/>
      <c r="J210" s="14">
        <f>0.5*J204</f>
        <v>6525</v>
      </c>
      <c r="K210" s="14" t="str">
        <f>K204</f>
        <v>kg/day</v>
      </c>
      <c r="L210" s="14"/>
      <c r="M210" s="14"/>
      <c r="N210" s="14"/>
    </row>
    <row r="211" spans="2:17" x14ac:dyDescent="0.25">
      <c r="B211" s="13" t="s">
        <v>224</v>
      </c>
      <c r="H211" s="112" t="s">
        <v>192</v>
      </c>
      <c r="J211" s="16">
        <v>1.02</v>
      </c>
      <c r="L211" s="14"/>
      <c r="M211" s="14"/>
      <c r="N211" s="14"/>
    </row>
    <row r="212" spans="2:17" x14ac:dyDescent="0.25">
      <c r="B212" s="13" t="s">
        <v>225</v>
      </c>
      <c r="H212" s="30" t="s">
        <v>192</v>
      </c>
      <c r="J212" s="16">
        <v>0.8</v>
      </c>
      <c r="K212" s="13" t="s">
        <v>47</v>
      </c>
      <c r="L212" s="14"/>
      <c r="M212" s="14"/>
      <c r="N212" s="14"/>
    </row>
    <row r="213" spans="2:17" ht="18.75" x14ac:dyDescent="0.25">
      <c r="B213" s="13" t="s">
        <v>399</v>
      </c>
      <c r="H213" s="30" t="s">
        <v>192</v>
      </c>
      <c r="I213" s="147"/>
      <c r="J213" s="15">
        <f>J210/(J212*10*J211)</f>
        <v>799.63235294117646</v>
      </c>
      <c r="K213" s="13" t="s">
        <v>54</v>
      </c>
    </row>
    <row r="214" spans="2:17" ht="53.25" customHeight="1" x14ac:dyDescent="0.25">
      <c r="B214" s="48" t="s">
        <v>243</v>
      </c>
      <c r="C214" s="14"/>
      <c r="D214" s="14"/>
      <c r="E214" s="14"/>
      <c r="F214" s="14"/>
      <c r="G214" s="14"/>
      <c r="H214" s="105" t="s">
        <v>192</v>
      </c>
      <c r="I214" s="105"/>
      <c r="J214" s="218" t="s">
        <v>285</v>
      </c>
      <c r="K214" s="218"/>
      <c r="L214" s="218"/>
      <c r="M214" s="218"/>
      <c r="N214" s="100"/>
      <c r="O214" s="100"/>
      <c r="P214" s="32"/>
      <c r="Q214" s="32"/>
    </row>
    <row r="215" spans="2:17" ht="16.5" customHeight="1" x14ac:dyDescent="0.25">
      <c r="B215" s="48"/>
      <c r="C215" s="14"/>
      <c r="D215" s="14"/>
      <c r="E215" s="14"/>
      <c r="F215" s="14"/>
      <c r="G215" s="14"/>
      <c r="H215" s="30" t="s">
        <v>192</v>
      </c>
      <c r="I215" s="105"/>
      <c r="J215" s="105" t="s">
        <v>240</v>
      </c>
      <c r="K215" s="139"/>
      <c r="L215" s="139"/>
      <c r="M215" s="139"/>
      <c r="N215" s="139"/>
      <c r="O215" s="100"/>
      <c r="P215" s="32"/>
      <c r="Q215" s="32"/>
    </row>
    <row r="216" spans="2:17" x14ac:dyDescent="0.25">
      <c r="H216" s="30" t="s">
        <v>192</v>
      </c>
      <c r="I216" s="105"/>
      <c r="J216" s="15">
        <f>0.65*1.42*0.68*J210</f>
        <v>4095.3509999999997</v>
      </c>
      <c r="K216" s="16" t="s">
        <v>10</v>
      </c>
    </row>
    <row r="217" spans="2:17" ht="36" customHeight="1" x14ac:dyDescent="0.25">
      <c r="B217" s="48" t="s">
        <v>51</v>
      </c>
      <c r="C217" s="48"/>
      <c r="D217" s="48"/>
      <c r="E217" s="48"/>
      <c r="F217" s="48"/>
      <c r="G217" s="48"/>
      <c r="H217" s="105" t="s">
        <v>192</v>
      </c>
      <c r="I217" s="22"/>
      <c r="J217" s="215" t="s">
        <v>55</v>
      </c>
      <c r="K217" s="215"/>
      <c r="L217" s="215"/>
      <c r="M217" s="215"/>
      <c r="N217" s="32"/>
      <c r="O217" s="100"/>
      <c r="P217" s="32"/>
      <c r="Q217" s="32"/>
    </row>
    <row r="218" spans="2:17" ht="54" customHeight="1" x14ac:dyDescent="0.25">
      <c r="B218" s="48" t="s">
        <v>52</v>
      </c>
      <c r="C218" s="48"/>
      <c r="D218" s="48"/>
      <c r="E218" s="48"/>
      <c r="F218" s="48"/>
      <c r="G218" s="48"/>
      <c r="H218" s="105" t="s">
        <v>192</v>
      </c>
      <c r="I218" s="105"/>
      <c r="J218" s="218" t="s">
        <v>53</v>
      </c>
      <c r="K218" s="218"/>
      <c r="L218" s="218"/>
      <c r="M218" s="218"/>
      <c r="N218" s="100"/>
      <c r="O218" s="32"/>
      <c r="P218" s="32"/>
      <c r="Q218" s="32"/>
    </row>
    <row r="219" spans="2:17" x14ac:dyDescent="0.25">
      <c r="D219" s="14"/>
      <c r="E219" s="14"/>
      <c r="F219" s="14"/>
      <c r="G219" s="14"/>
      <c r="H219" s="22" t="s">
        <v>192</v>
      </c>
      <c r="I219" s="22"/>
      <c r="J219" s="118">
        <f>10*0.65*1.42*0.68</f>
        <v>6.2764000000000006</v>
      </c>
      <c r="K219" s="21" t="s">
        <v>18</v>
      </c>
    </row>
    <row r="220" spans="2:17" ht="18.75" x14ac:dyDescent="0.35">
      <c r="B220" s="13" t="s">
        <v>236</v>
      </c>
      <c r="D220" s="14"/>
      <c r="E220" s="14"/>
      <c r="F220" s="14"/>
      <c r="G220" s="14"/>
      <c r="H220" s="22" t="s">
        <v>192</v>
      </c>
      <c r="I220" s="22"/>
      <c r="J220" s="14" t="s">
        <v>79</v>
      </c>
      <c r="K220" s="21"/>
    </row>
    <row r="221" spans="2:17" x14ac:dyDescent="0.25">
      <c r="B221" s="14"/>
      <c r="D221" s="14"/>
      <c r="E221" s="14"/>
      <c r="F221" s="14"/>
      <c r="G221" s="14"/>
      <c r="H221" s="22" t="s">
        <v>192</v>
      </c>
      <c r="I221" s="22"/>
      <c r="J221" s="118">
        <f>10-J219</f>
        <v>3.7235999999999994</v>
      </c>
      <c r="K221" s="21" t="s">
        <v>18</v>
      </c>
    </row>
    <row r="222" spans="2:17" ht="18.75" x14ac:dyDescent="0.25">
      <c r="B222" s="14" t="s">
        <v>237</v>
      </c>
      <c r="D222" s="14"/>
      <c r="E222" s="14"/>
      <c r="F222" s="14"/>
      <c r="G222" s="14"/>
      <c r="H222" s="22" t="s">
        <v>192</v>
      </c>
      <c r="I222" s="22"/>
      <c r="J222" s="14" t="s">
        <v>37</v>
      </c>
      <c r="K222" s="21"/>
    </row>
    <row r="223" spans="2:17" ht="18.75" x14ac:dyDescent="0.25">
      <c r="B223" s="13" t="s">
        <v>9</v>
      </c>
      <c r="H223" s="22" t="s">
        <v>192</v>
      </c>
      <c r="J223" s="15">
        <f>J213</f>
        <v>799.63235294117646</v>
      </c>
      <c r="K223" s="16" t="s">
        <v>54</v>
      </c>
    </row>
    <row r="224" spans="2:17" ht="18.75" x14ac:dyDescent="0.25">
      <c r="B224" s="14" t="s">
        <v>142</v>
      </c>
      <c r="H224" s="22" t="s">
        <v>192</v>
      </c>
      <c r="J224" s="15" t="s">
        <v>238</v>
      </c>
      <c r="K224" s="16"/>
    </row>
    <row r="225" spans="2:14" x14ac:dyDescent="0.25">
      <c r="C225" s="14"/>
      <c r="D225" s="14"/>
      <c r="E225" s="14"/>
      <c r="F225" s="14"/>
      <c r="G225" s="14"/>
      <c r="H225" s="22" t="s">
        <v>192</v>
      </c>
      <c r="I225" s="22"/>
      <c r="J225" s="20">
        <f>J221*(J223/1000)</f>
        <v>2.9775110294117644</v>
      </c>
      <c r="K225" s="21" t="s">
        <v>10</v>
      </c>
    </row>
    <row r="226" spans="2:14" ht="18.75" x14ac:dyDescent="0.35">
      <c r="B226" s="14" t="s">
        <v>143</v>
      </c>
      <c r="C226" s="14"/>
      <c r="D226" s="14"/>
      <c r="E226" s="14"/>
      <c r="F226" s="14"/>
      <c r="G226" s="14"/>
      <c r="H226" s="22" t="s">
        <v>192</v>
      </c>
      <c r="I226" s="22"/>
      <c r="J226" s="120" t="s">
        <v>179</v>
      </c>
      <c r="K226" s="120"/>
      <c r="L226" s="120"/>
      <c r="M226" s="120"/>
      <c r="N226" s="120"/>
    </row>
    <row r="227" spans="2:14" x14ac:dyDescent="0.25">
      <c r="B227" s="14"/>
      <c r="C227" s="14"/>
      <c r="D227" s="14"/>
      <c r="E227" s="14"/>
      <c r="F227" s="14"/>
      <c r="G227" s="14"/>
      <c r="H227" s="22" t="s">
        <v>192</v>
      </c>
      <c r="I227" s="22"/>
      <c r="J227" s="137" t="s">
        <v>239</v>
      </c>
      <c r="K227" s="137"/>
      <c r="L227" s="137"/>
      <c r="M227" s="137"/>
      <c r="N227" s="137"/>
    </row>
    <row r="228" spans="2:14" x14ac:dyDescent="0.25">
      <c r="C228" s="14"/>
      <c r="D228" s="14"/>
      <c r="E228" s="14"/>
      <c r="F228" s="14"/>
      <c r="G228" s="14"/>
      <c r="H228" s="22" t="s">
        <v>192</v>
      </c>
      <c r="I228" s="22"/>
      <c r="J228" s="118">
        <f>J225+J216</f>
        <v>4098.3285110294119</v>
      </c>
      <c r="K228" s="21" t="s">
        <v>10</v>
      </c>
    </row>
    <row r="229" spans="2:14" ht="31.5" customHeight="1" x14ac:dyDescent="0.25">
      <c r="B229" s="218" t="s">
        <v>40</v>
      </c>
      <c r="C229" s="218"/>
      <c r="D229" s="218"/>
      <c r="E229" s="218"/>
      <c r="F229" s="218"/>
      <c r="G229" s="218"/>
      <c r="H229" s="105" t="s">
        <v>192</v>
      </c>
      <c r="I229" s="105"/>
      <c r="J229" s="48" t="s">
        <v>21</v>
      </c>
      <c r="K229" s="93"/>
      <c r="L229" s="48"/>
      <c r="M229" s="48"/>
    </row>
    <row r="230" spans="2:14" ht="21" customHeight="1" x14ac:dyDescent="0.25">
      <c r="B230" s="100"/>
      <c r="C230" s="100"/>
      <c r="D230" s="100"/>
      <c r="E230" s="100"/>
      <c r="F230" s="100"/>
      <c r="G230" s="135"/>
      <c r="H230" s="105" t="s">
        <v>192</v>
      </c>
      <c r="I230" s="22"/>
      <c r="J230" s="14" t="s">
        <v>241</v>
      </c>
      <c r="K230" s="21"/>
    </row>
    <row r="231" spans="2:14" ht="19.5" customHeight="1" x14ac:dyDescent="0.25">
      <c r="B231" s="100"/>
      <c r="C231" s="100"/>
      <c r="D231" s="100"/>
      <c r="E231" s="100"/>
      <c r="F231" s="100"/>
      <c r="G231" s="128"/>
      <c r="H231" s="22" t="s">
        <v>192</v>
      </c>
      <c r="I231" s="135"/>
      <c r="J231" s="20">
        <f>0.122*0.8*J210</f>
        <v>636.84</v>
      </c>
      <c r="K231" s="21" t="s">
        <v>10</v>
      </c>
    </row>
    <row r="232" spans="2:14" ht="19.5" customHeight="1" x14ac:dyDescent="0.35">
      <c r="B232" s="62" t="s">
        <v>145</v>
      </c>
      <c r="C232" s="88"/>
      <c r="D232" s="88"/>
      <c r="E232" s="88"/>
      <c r="F232" s="88"/>
      <c r="G232" s="129"/>
      <c r="H232" s="22" t="s">
        <v>192</v>
      </c>
      <c r="I232" s="142"/>
      <c r="J232" s="167">
        <v>1</v>
      </c>
      <c r="K232" s="21" t="s">
        <v>242</v>
      </c>
      <c r="L232" s="14"/>
      <c r="M232" s="62"/>
    </row>
    <row r="233" spans="2:14" ht="17.25" customHeight="1" x14ac:dyDescent="0.25">
      <c r="B233" s="62"/>
      <c r="C233" s="62"/>
      <c r="D233" s="62"/>
      <c r="E233" s="62"/>
      <c r="F233" s="62"/>
      <c r="G233" s="62"/>
      <c r="H233" s="22" t="s">
        <v>192</v>
      </c>
      <c r="I233" s="142"/>
      <c r="J233" s="120">
        <f>1*J223/1000</f>
        <v>0.79963235294117652</v>
      </c>
      <c r="K233" s="121" t="s">
        <v>10</v>
      </c>
    </row>
    <row r="234" spans="2:14" ht="18" customHeight="1" x14ac:dyDescent="0.25">
      <c r="B234" s="62" t="s">
        <v>244</v>
      </c>
      <c r="C234" s="62"/>
      <c r="D234" s="62"/>
      <c r="E234" s="62"/>
      <c r="F234" s="62"/>
      <c r="G234" s="62"/>
      <c r="H234" s="142" t="s">
        <v>192</v>
      </c>
      <c r="I234" s="142"/>
      <c r="J234" s="167">
        <v>10</v>
      </c>
      <c r="K234" s="121" t="s">
        <v>47</v>
      </c>
    </row>
    <row r="235" spans="2:14" ht="18.75" customHeight="1" x14ac:dyDescent="0.25">
      <c r="B235" s="62"/>
      <c r="C235" s="62"/>
      <c r="D235" s="62"/>
      <c r="E235" s="62"/>
      <c r="F235" s="62"/>
      <c r="G235" s="62"/>
      <c r="H235" s="142" t="s">
        <v>192</v>
      </c>
      <c r="I235" s="142"/>
      <c r="J235" s="137" t="s">
        <v>245</v>
      </c>
      <c r="K235" s="121"/>
    </row>
    <row r="236" spans="2:14" ht="17.25" customHeight="1" x14ac:dyDescent="0.25">
      <c r="B236" s="62"/>
      <c r="C236" s="62"/>
      <c r="D236" s="62"/>
      <c r="E236" s="62"/>
      <c r="F236" s="62"/>
      <c r="G236" s="62"/>
      <c r="H236" s="142" t="s">
        <v>192</v>
      </c>
      <c r="I236" s="142"/>
      <c r="J236" s="120">
        <f>J162*J234/100</f>
        <v>0.7</v>
      </c>
      <c r="K236" s="121" t="s">
        <v>18</v>
      </c>
    </row>
    <row r="237" spans="2:14" ht="17.25" customHeight="1" x14ac:dyDescent="0.25">
      <c r="B237" s="14" t="s">
        <v>246</v>
      </c>
      <c r="C237" s="14"/>
      <c r="D237" s="14"/>
      <c r="E237" s="14"/>
      <c r="F237" s="14"/>
      <c r="G237" s="14"/>
      <c r="H237" s="142" t="s">
        <v>192</v>
      </c>
      <c r="I237" s="22"/>
      <c r="J237" s="118">
        <f>J162-J236</f>
        <v>6.3</v>
      </c>
      <c r="K237" s="121" t="s">
        <v>18</v>
      </c>
      <c r="L237" s="14"/>
      <c r="M237" s="14"/>
    </row>
    <row r="238" spans="2:14" ht="19.5" customHeight="1" x14ac:dyDescent="0.25">
      <c r="B238" s="14" t="s">
        <v>287</v>
      </c>
      <c r="C238" s="14"/>
      <c r="D238" s="14"/>
      <c r="E238" s="14"/>
      <c r="F238" s="14"/>
      <c r="G238" s="14"/>
      <c r="H238" s="142" t="s">
        <v>192</v>
      </c>
      <c r="I238" s="22"/>
      <c r="J238" s="177">
        <v>1</v>
      </c>
      <c r="K238" s="121" t="s">
        <v>18</v>
      </c>
      <c r="L238" s="14"/>
      <c r="M238" s="14"/>
    </row>
    <row r="239" spans="2:14" ht="18" customHeight="1" x14ac:dyDescent="0.25">
      <c r="B239" s="14" t="s">
        <v>62</v>
      </c>
      <c r="C239" s="14"/>
      <c r="D239" s="14"/>
      <c r="E239" s="14"/>
      <c r="F239" s="14"/>
      <c r="G239" s="14"/>
      <c r="H239" s="178" t="s">
        <v>192</v>
      </c>
      <c r="I239" s="22"/>
      <c r="J239" s="20" t="s">
        <v>315</v>
      </c>
      <c r="K239" s="121"/>
      <c r="L239" s="14"/>
      <c r="M239" s="14"/>
    </row>
    <row r="240" spans="2:14" ht="17.25" customHeight="1" x14ac:dyDescent="0.25">
      <c r="C240" s="14"/>
      <c r="D240" s="14"/>
      <c r="E240" s="14"/>
      <c r="F240" s="14"/>
      <c r="G240" s="14"/>
      <c r="H240" s="142" t="s">
        <v>192</v>
      </c>
      <c r="I240" s="22"/>
      <c r="J240" s="119">
        <f>(J237-J238)*60</f>
        <v>318</v>
      </c>
      <c r="K240" s="14" t="s">
        <v>10</v>
      </c>
      <c r="L240" s="14"/>
      <c r="M240" s="14"/>
    </row>
    <row r="241" spans="1:21" ht="18.75" customHeight="1" x14ac:dyDescent="0.25">
      <c r="B241" s="217" t="s">
        <v>304</v>
      </c>
      <c r="C241" s="217"/>
      <c r="D241" s="217"/>
      <c r="E241" s="217"/>
      <c r="F241" s="217"/>
      <c r="G241" s="130"/>
      <c r="H241" s="136" t="s">
        <v>192</v>
      </c>
      <c r="I241" s="136"/>
      <c r="J241" s="93">
        <v>0.8</v>
      </c>
      <c r="K241" s="48"/>
      <c r="L241" s="14"/>
      <c r="M241" s="14"/>
      <c r="N241" s="16"/>
    </row>
    <row r="242" spans="1:21" ht="14.25" customHeight="1" x14ac:dyDescent="0.25">
      <c r="J242" s="15"/>
    </row>
    <row r="243" spans="1:21" ht="23.25" customHeight="1" x14ac:dyDescent="0.25">
      <c r="A243" s="163" t="s">
        <v>197</v>
      </c>
      <c r="B243" s="57" t="s">
        <v>383</v>
      </c>
      <c r="C243" s="14"/>
      <c r="J243" s="15"/>
      <c r="K243" s="16"/>
    </row>
    <row r="244" spans="1:21" ht="12" customHeight="1" x14ac:dyDescent="0.25">
      <c r="A244" s="163"/>
      <c r="B244" s="57"/>
      <c r="C244" s="14"/>
      <c r="J244" s="15"/>
      <c r="K244" s="16"/>
    </row>
    <row r="245" spans="1:21" ht="18.75" customHeight="1" x14ac:dyDescent="0.25">
      <c r="A245" s="157" t="s">
        <v>197</v>
      </c>
      <c r="B245" s="37" t="s">
        <v>215</v>
      </c>
      <c r="J245" s="25"/>
    </row>
    <row r="246" spans="1:21" ht="17.25" customHeight="1" x14ac:dyDescent="0.25">
      <c r="B246" s="14" t="s">
        <v>2</v>
      </c>
      <c r="H246" s="30" t="s">
        <v>192</v>
      </c>
      <c r="J246" s="62" t="s">
        <v>161</v>
      </c>
      <c r="K246" s="34"/>
      <c r="L246" s="34"/>
      <c r="M246" s="34"/>
      <c r="N246" s="34"/>
      <c r="O246" s="34"/>
      <c r="Q246" s="27"/>
      <c r="R246" s="27"/>
    </row>
    <row r="247" spans="1:21" ht="17.25" customHeight="1" x14ac:dyDescent="0.25">
      <c r="B247" s="14"/>
      <c r="H247" s="30" t="s">
        <v>192</v>
      </c>
      <c r="J247" s="30" t="s">
        <v>377</v>
      </c>
      <c r="K247" s="142"/>
      <c r="L247" s="142"/>
      <c r="M247" s="142"/>
      <c r="N247" s="142"/>
      <c r="O247" s="34"/>
      <c r="Q247" s="142"/>
      <c r="R247" s="142"/>
    </row>
    <row r="248" spans="1:21" x14ac:dyDescent="0.25">
      <c r="H248" s="30" t="s">
        <v>192</v>
      </c>
      <c r="J248" s="13">
        <f>J210+J174</f>
        <v>20925</v>
      </c>
      <c r="K248" s="13" t="s">
        <v>10</v>
      </c>
    </row>
    <row r="249" spans="1:21" ht="17.25" customHeight="1" x14ac:dyDescent="0.25">
      <c r="B249" s="13" t="s">
        <v>224</v>
      </c>
      <c r="H249" s="112" t="s">
        <v>192</v>
      </c>
      <c r="J249" s="16">
        <v>1.0249999999999999</v>
      </c>
    </row>
    <row r="250" spans="1:21" ht="17.25" customHeight="1" x14ac:dyDescent="0.25">
      <c r="B250" s="13" t="s">
        <v>320</v>
      </c>
      <c r="H250" s="30" t="s">
        <v>192</v>
      </c>
      <c r="J250" s="13" t="s">
        <v>378</v>
      </c>
    </row>
    <row r="251" spans="1:21" s="16" customFormat="1" ht="17.25" customHeight="1" x14ac:dyDescent="0.25">
      <c r="A251" s="154"/>
      <c r="H251" s="147" t="s">
        <v>192</v>
      </c>
      <c r="I251" s="147"/>
      <c r="J251" s="19">
        <f>(J248/(J249*(J213+J177)))/10</f>
        <v>1.7765034097249608</v>
      </c>
      <c r="K251" s="16" t="s">
        <v>47</v>
      </c>
      <c r="U251" s="35"/>
    </row>
    <row r="252" spans="1:21" ht="18.75" x14ac:dyDescent="0.25">
      <c r="B252" s="13" t="s">
        <v>248</v>
      </c>
      <c r="H252" s="30" t="s">
        <v>192</v>
      </c>
      <c r="J252" s="19">
        <f>J248/(10*J251*J249)</f>
        <v>1149.1469160479726</v>
      </c>
      <c r="K252" s="16" t="s">
        <v>54</v>
      </c>
      <c r="L252" s="16"/>
      <c r="M252" s="16"/>
    </row>
    <row r="253" spans="1:21" ht="17.25" customHeight="1" x14ac:dyDescent="0.25">
      <c r="B253" s="16" t="s">
        <v>360</v>
      </c>
      <c r="C253" s="16"/>
      <c r="D253" s="16"/>
      <c r="E253" s="16"/>
      <c r="F253" s="16"/>
      <c r="G253" s="16"/>
      <c r="H253" s="147" t="s">
        <v>192</v>
      </c>
      <c r="I253" s="147"/>
      <c r="J253" s="201">
        <v>2</v>
      </c>
      <c r="K253" s="121" t="s">
        <v>359</v>
      </c>
      <c r="L253" s="121"/>
      <c r="M253" s="16"/>
    </row>
    <row r="254" spans="1:21" x14ac:dyDescent="0.25">
      <c r="B254" s="16" t="s">
        <v>217</v>
      </c>
      <c r="H254" s="22" t="s">
        <v>192</v>
      </c>
      <c r="I254" s="22"/>
      <c r="J254" s="120" t="s">
        <v>384</v>
      </c>
      <c r="K254" s="120"/>
      <c r="M254" s="16"/>
    </row>
    <row r="255" spans="1:21" x14ac:dyDescent="0.25">
      <c r="H255" s="22" t="s">
        <v>192</v>
      </c>
      <c r="I255" s="22"/>
      <c r="J255" s="15">
        <f>J253*J248/1000</f>
        <v>41.85</v>
      </c>
      <c r="K255" s="13" t="s">
        <v>10</v>
      </c>
      <c r="M255" s="16"/>
    </row>
    <row r="256" spans="1:21" x14ac:dyDescent="0.25">
      <c r="B256" s="13" t="s">
        <v>228</v>
      </c>
      <c r="H256" s="22" t="s">
        <v>192</v>
      </c>
      <c r="I256" s="22"/>
      <c r="J256" s="15" t="s">
        <v>385</v>
      </c>
    </row>
    <row r="257" spans="1:18" x14ac:dyDescent="0.25">
      <c r="H257" s="22" t="s">
        <v>192</v>
      </c>
      <c r="I257" s="22"/>
      <c r="J257" s="15">
        <f>J255+J248</f>
        <v>20966.849999999999</v>
      </c>
      <c r="K257" s="13" t="s">
        <v>10</v>
      </c>
    </row>
    <row r="258" spans="1:18" ht="19.5" customHeight="1" x14ac:dyDescent="0.25">
      <c r="A258" s="157"/>
      <c r="B258" s="14" t="s">
        <v>64</v>
      </c>
      <c r="C258" s="14"/>
      <c r="D258" s="14"/>
      <c r="E258" s="14"/>
      <c r="F258" s="14"/>
      <c r="G258" s="14"/>
      <c r="H258" s="30" t="s">
        <v>192</v>
      </c>
      <c r="I258" s="22"/>
      <c r="J258" s="14" t="s">
        <v>162</v>
      </c>
      <c r="K258" s="32"/>
      <c r="L258" s="32"/>
      <c r="M258" s="32"/>
      <c r="N258" s="32"/>
      <c r="O258" s="34"/>
      <c r="Q258" s="27"/>
      <c r="R258" s="27"/>
    </row>
    <row r="259" spans="1:18" ht="19.5" customHeight="1" x14ac:dyDescent="0.25">
      <c r="A259" s="157"/>
      <c r="B259" s="14"/>
      <c r="C259" s="14"/>
      <c r="D259" s="14"/>
      <c r="E259" s="14"/>
      <c r="F259" s="14"/>
      <c r="G259" s="14"/>
      <c r="H259" s="30" t="s">
        <v>192</v>
      </c>
      <c r="I259" s="22"/>
      <c r="J259" s="22" t="s">
        <v>370</v>
      </c>
      <c r="K259" s="135"/>
      <c r="L259" s="135"/>
      <c r="M259" s="135"/>
      <c r="N259" s="135"/>
      <c r="O259" s="34"/>
      <c r="Q259" s="142"/>
      <c r="R259" s="142"/>
    </row>
    <row r="260" spans="1:18" ht="17.25" customHeight="1" x14ac:dyDescent="0.25">
      <c r="H260" s="30" t="s">
        <v>192</v>
      </c>
      <c r="J260" s="15">
        <f>J228+J181</f>
        <v>11448.328511029411</v>
      </c>
      <c r="K260" s="13" t="s">
        <v>10</v>
      </c>
    </row>
    <row r="261" spans="1:18" ht="19.5" customHeight="1" x14ac:dyDescent="0.25">
      <c r="B261" s="14" t="s">
        <v>4</v>
      </c>
      <c r="C261" s="14"/>
      <c r="D261" s="14"/>
      <c r="E261" s="14"/>
      <c r="F261" s="14"/>
      <c r="G261" s="14"/>
      <c r="H261" s="30" t="s">
        <v>192</v>
      </c>
      <c r="I261" s="22"/>
      <c r="J261" s="14" t="s">
        <v>163</v>
      </c>
      <c r="K261" s="32"/>
      <c r="L261" s="32"/>
      <c r="M261" s="32"/>
      <c r="N261" s="32"/>
      <c r="O261" s="34"/>
      <c r="Q261" s="27"/>
      <c r="R261" s="27"/>
    </row>
    <row r="262" spans="1:18" ht="19.5" customHeight="1" x14ac:dyDescent="0.25">
      <c r="B262" s="14"/>
      <c r="C262" s="14"/>
      <c r="D262" s="14"/>
      <c r="E262" s="14"/>
      <c r="F262" s="14"/>
      <c r="G262" s="14"/>
      <c r="H262" s="30" t="s">
        <v>192</v>
      </c>
      <c r="I262" s="22"/>
      <c r="J262" s="22" t="s">
        <v>247</v>
      </c>
      <c r="K262" s="135"/>
      <c r="L262" s="135"/>
      <c r="M262" s="135"/>
      <c r="N262" s="135"/>
      <c r="O262" s="34"/>
      <c r="Q262" s="142"/>
      <c r="R262" s="142"/>
    </row>
    <row r="263" spans="1:18" x14ac:dyDescent="0.25">
      <c r="H263" s="30" t="s">
        <v>192</v>
      </c>
      <c r="J263" s="18">
        <f>J185+J240</f>
        <v>360</v>
      </c>
      <c r="K263" s="13" t="s">
        <v>10</v>
      </c>
    </row>
    <row r="264" spans="1:18" ht="18.75" customHeight="1" x14ac:dyDescent="0.25">
      <c r="B264" s="14" t="s">
        <v>3</v>
      </c>
      <c r="C264" s="14"/>
      <c r="D264" s="14"/>
      <c r="E264" s="14"/>
      <c r="F264" s="14"/>
      <c r="G264" s="14"/>
      <c r="H264" s="30" t="s">
        <v>192</v>
      </c>
      <c r="I264" s="22"/>
      <c r="J264" s="14" t="s">
        <v>164</v>
      </c>
      <c r="K264" s="32"/>
      <c r="L264" s="32"/>
      <c r="M264" s="32"/>
      <c r="N264" s="32"/>
    </row>
    <row r="265" spans="1:18" ht="18" customHeight="1" x14ac:dyDescent="0.25">
      <c r="B265" s="14"/>
      <c r="C265" s="14"/>
      <c r="D265" s="14"/>
      <c r="E265" s="14"/>
      <c r="F265" s="14"/>
      <c r="G265" s="14"/>
      <c r="H265" s="30" t="s">
        <v>192</v>
      </c>
      <c r="I265" s="22"/>
      <c r="J265" s="22" t="s">
        <v>371</v>
      </c>
      <c r="K265" s="135"/>
      <c r="L265" s="135"/>
      <c r="M265" s="135"/>
      <c r="N265" s="135"/>
    </row>
    <row r="266" spans="1:18" ht="18" customHeight="1" x14ac:dyDescent="0.25">
      <c r="B266" s="14"/>
      <c r="C266" s="14"/>
      <c r="D266" s="14"/>
      <c r="E266" s="14"/>
      <c r="F266" s="14"/>
      <c r="G266" s="14"/>
      <c r="H266" s="30" t="s">
        <v>192</v>
      </c>
      <c r="I266" s="22"/>
      <c r="J266" s="20">
        <f>J189+J231</f>
        <v>876.84</v>
      </c>
      <c r="K266" s="14" t="s">
        <v>10</v>
      </c>
      <c r="L266" s="14"/>
      <c r="M266" s="14"/>
      <c r="N266" s="14"/>
    </row>
    <row r="267" spans="1:18" ht="18.75" customHeight="1" x14ac:dyDescent="0.25">
      <c r="B267" s="14" t="s">
        <v>145</v>
      </c>
      <c r="C267" s="14"/>
      <c r="D267" s="14"/>
      <c r="E267" s="14"/>
      <c r="F267" s="14"/>
      <c r="G267" s="14"/>
      <c r="H267" s="30" t="s">
        <v>192</v>
      </c>
      <c r="I267" s="22"/>
      <c r="J267" s="14" t="s">
        <v>165</v>
      </c>
      <c r="K267" s="32"/>
      <c r="L267" s="32"/>
      <c r="M267" s="32"/>
      <c r="N267" s="32"/>
    </row>
    <row r="268" spans="1:18" ht="18" customHeight="1" x14ac:dyDescent="0.25">
      <c r="B268" s="14"/>
      <c r="C268" s="14"/>
      <c r="D268" s="14"/>
      <c r="E268" s="14"/>
      <c r="F268" s="14"/>
      <c r="G268" s="14"/>
      <c r="H268" s="30" t="s">
        <v>192</v>
      </c>
      <c r="I268" s="22"/>
      <c r="J268" s="14" t="s">
        <v>372</v>
      </c>
      <c r="K268" s="14"/>
      <c r="L268" s="14"/>
      <c r="M268" s="14"/>
      <c r="N268" s="14"/>
    </row>
    <row r="269" spans="1:18" ht="17.25" customHeight="1" x14ac:dyDescent="0.25">
      <c r="H269" s="30" t="s">
        <v>192</v>
      </c>
      <c r="I269" s="105"/>
      <c r="J269" s="20">
        <f>J233</f>
        <v>0.79963235294117652</v>
      </c>
      <c r="K269" s="14" t="s">
        <v>10</v>
      </c>
    </row>
    <row r="270" spans="1:18" ht="18.75" customHeight="1" x14ac:dyDescent="0.25">
      <c r="B270" s="48" t="s">
        <v>5</v>
      </c>
      <c r="C270" s="48"/>
      <c r="D270" s="48"/>
      <c r="E270" s="48"/>
      <c r="F270" s="48"/>
      <c r="G270" s="48"/>
      <c r="H270" s="30" t="s">
        <v>192</v>
      </c>
      <c r="I270" s="105"/>
      <c r="J270" s="48" t="s">
        <v>250</v>
      </c>
      <c r="K270" s="100"/>
      <c r="L270" s="100"/>
      <c r="M270" s="100"/>
      <c r="N270" s="100"/>
      <c r="O270" s="34"/>
      <c r="Q270" s="27"/>
      <c r="R270" s="27"/>
    </row>
    <row r="271" spans="1:18" ht="18.75" customHeight="1" x14ac:dyDescent="0.25">
      <c r="B271" s="48"/>
      <c r="C271" s="48"/>
      <c r="D271" s="48"/>
      <c r="E271" s="48"/>
      <c r="F271" s="48"/>
      <c r="G271" s="48"/>
      <c r="H271" s="30" t="s">
        <v>192</v>
      </c>
      <c r="I271" s="105"/>
      <c r="J271" s="105" t="s">
        <v>373</v>
      </c>
      <c r="K271" s="139"/>
      <c r="L271" s="139"/>
      <c r="M271" s="139"/>
      <c r="N271" s="139"/>
      <c r="O271" s="34"/>
      <c r="Q271" s="142"/>
      <c r="R271" s="142"/>
    </row>
    <row r="272" spans="1:18" ht="18.75" customHeight="1" x14ac:dyDescent="0.25">
      <c r="H272" s="30" t="s">
        <v>192</v>
      </c>
      <c r="J272" s="15">
        <f>J269+J266</f>
        <v>877.63963235294125</v>
      </c>
      <c r="K272" s="13" t="s">
        <v>10</v>
      </c>
    </row>
    <row r="273" spans="1:25" ht="30" customHeight="1" x14ac:dyDescent="0.25">
      <c r="B273" s="218" t="s">
        <v>124</v>
      </c>
      <c r="C273" s="218"/>
      <c r="D273" s="218"/>
      <c r="E273" s="218"/>
      <c r="F273" s="218"/>
      <c r="G273" s="127"/>
      <c r="H273" s="105" t="s">
        <v>192</v>
      </c>
      <c r="I273" s="105"/>
      <c r="J273" s="224" t="s">
        <v>125</v>
      </c>
      <c r="K273" s="224"/>
      <c r="L273" s="224"/>
      <c r="M273" s="224"/>
      <c r="N273" s="104"/>
    </row>
    <row r="274" spans="1:25" ht="20.25" customHeight="1" x14ac:dyDescent="0.25">
      <c r="B274" s="87"/>
      <c r="C274" s="87"/>
      <c r="D274" s="87"/>
      <c r="E274" s="87"/>
      <c r="F274" s="87"/>
      <c r="G274" s="127"/>
      <c r="H274" s="30" t="s">
        <v>192</v>
      </c>
      <c r="I274" s="105"/>
      <c r="J274" s="13" t="s">
        <v>453</v>
      </c>
      <c r="K274" s="94"/>
      <c r="L274" s="94"/>
      <c r="M274" s="132"/>
      <c r="N274" s="94"/>
    </row>
    <row r="275" spans="1:25" s="14" customFormat="1" ht="19.5" customHeight="1" x14ac:dyDescent="0.25">
      <c r="A275" s="157"/>
      <c r="H275" s="30" t="s">
        <v>192</v>
      </c>
      <c r="J275" s="95">
        <f>((J195*J174)+(J241*J210))/(J210+J174)</f>
        <v>0.73118279569892475</v>
      </c>
      <c r="O275" s="32"/>
      <c r="Q275" s="89"/>
      <c r="R275" s="89"/>
      <c r="U275" s="44"/>
      <c r="W275" s="21"/>
      <c r="Y275" s="21"/>
    </row>
    <row r="276" spans="1:25" s="14" customFormat="1" ht="24" customHeight="1" x14ac:dyDescent="0.25">
      <c r="A276" s="157" t="s">
        <v>197</v>
      </c>
      <c r="B276" s="37" t="s">
        <v>220</v>
      </c>
      <c r="H276" s="22"/>
      <c r="I276" s="22"/>
      <c r="J276" s="20"/>
      <c r="U276" s="44"/>
      <c r="W276" s="21"/>
      <c r="Y276" s="21"/>
    </row>
    <row r="277" spans="1:25" ht="18" customHeight="1" x14ac:dyDescent="0.25">
      <c r="B277" s="37"/>
      <c r="H277" s="105"/>
      <c r="I277" s="105"/>
      <c r="J277" s="15"/>
    </row>
    <row r="278" spans="1:25" ht="17.25" customHeight="1" x14ac:dyDescent="0.25">
      <c r="B278" s="13" t="s">
        <v>166</v>
      </c>
      <c r="H278" s="30" t="s">
        <v>192</v>
      </c>
      <c r="J278" s="25">
        <v>0.95</v>
      </c>
    </row>
    <row r="279" spans="1:25" ht="30.75" customHeight="1" x14ac:dyDescent="0.25">
      <c r="B279" s="215" t="s">
        <v>221</v>
      </c>
      <c r="C279" s="215"/>
      <c r="D279" s="215"/>
      <c r="E279" s="215"/>
      <c r="F279" s="215"/>
      <c r="G279" s="215"/>
      <c r="H279" s="105" t="s">
        <v>192</v>
      </c>
      <c r="I279" s="105"/>
      <c r="J279" s="164">
        <v>0.8</v>
      </c>
      <c r="K279" s="14"/>
      <c r="L279" s="14"/>
      <c r="M279" s="14"/>
    </row>
    <row r="280" spans="1:25" ht="17.25" customHeight="1" x14ac:dyDescent="0.25">
      <c r="B280" s="13" t="s">
        <v>222</v>
      </c>
      <c r="H280" s="30" t="s">
        <v>192</v>
      </c>
      <c r="J280" s="13" t="s">
        <v>42</v>
      </c>
    </row>
    <row r="281" spans="1:25" ht="17.25" customHeight="1" x14ac:dyDescent="0.25">
      <c r="B281" s="13" t="s">
        <v>187</v>
      </c>
      <c r="C281" s="14"/>
      <c r="D281" s="14"/>
      <c r="E281" s="14"/>
      <c r="F281" s="14"/>
      <c r="G281" s="14"/>
      <c r="H281" s="30" t="s">
        <v>192</v>
      </c>
      <c r="I281" s="22"/>
      <c r="J281" s="20" t="s">
        <v>386</v>
      </c>
      <c r="K281" s="14"/>
      <c r="L281" s="14"/>
      <c r="M281" s="14"/>
    </row>
    <row r="282" spans="1:25" ht="17.25" customHeight="1" x14ac:dyDescent="0.25">
      <c r="H282" s="30" t="s">
        <v>192</v>
      </c>
      <c r="I282" s="22"/>
      <c r="J282" s="120">
        <f>0.95*J248+J255*0.8</f>
        <v>19912.23</v>
      </c>
      <c r="K282" s="62" t="s">
        <v>10</v>
      </c>
      <c r="L282" s="62"/>
    </row>
    <row r="283" spans="1:25" ht="17.25" customHeight="1" x14ac:dyDescent="0.25">
      <c r="B283" s="13" t="s">
        <v>224</v>
      </c>
      <c r="H283" s="30" t="s">
        <v>192</v>
      </c>
      <c r="J283" s="16">
        <v>1.03</v>
      </c>
    </row>
    <row r="284" spans="1:25" s="16" customFormat="1" ht="17.25" customHeight="1" x14ac:dyDescent="0.25">
      <c r="A284" s="154"/>
      <c r="B284" s="16" t="s">
        <v>225</v>
      </c>
      <c r="H284" s="147" t="s">
        <v>192</v>
      </c>
      <c r="I284" s="147"/>
      <c r="J284" s="16">
        <v>8</v>
      </c>
      <c r="K284" s="16" t="s">
        <v>47</v>
      </c>
      <c r="U284" s="35"/>
    </row>
    <row r="285" spans="1:25" ht="17.25" customHeight="1" x14ac:dyDescent="0.25">
      <c r="B285" s="13" t="s">
        <v>249</v>
      </c>
      <c r="H285" s="30" t="s">
        <v>192</v>
      </c>
      <c r="J285" s="15">
        <f>J282/(10*J284*J283)</f>
        <v>241.65327669902911</v>
      </c>
      <c r="K285" s="16" t="s">
        <v>54</v>
      </c>
    </row>
    <row r="286" spans="1:25" ht="18.75" x14ac:dyDescent="0.35">
      <c r="B286" s="13" t="s">
        <v>168</v>
      </c>
      <c r="H286" s="30" t="s">
        <v>192</v>
      </c>
      <c r="J286" s="13" t="s">
        <v>158</v>
      </c>
    </row>
    <row r="287" spans="1:25" ht="18" customHeight="1" x14ac:dyDescent="0.25">
      <c r="H287" s="30" t="s">
        <v>192</v>
      </c>
      <c r="J287" s="13" t="s">
        <v>388</v>
      </c>
    </row>
    <row r="288" spans="1:25" ht="19.5" customHeight="1" x14ac:dyDescent="0.25">
      <c r="H288" s="30" t="s">
        <v>192</v>
      </c>
      <c r="J288" s="15">
        <f>(0.95)*J260</f>
        <v>10875.912085477939</v>
      </c>
      <c r="K288" s="13" t="s">
        <v>10</v>
      </c>
    </row>
    <row r="289" spans="1:21" ht="18" customHeight="1" x14ac:dyDescent="0.25">
      <c r="B289" s="13" t="s">
        <v>33</v>
      </c>
      <c r="H289" s="30" t="s">
        <v>192</v>
      </c>
      <c r="J289" s="13" t="s">
        <v>159</v>
      </c>
    </row>
    <row r="290" spans="1:21" ht="17.25" customHeight="1" x14ac:dyDescent="0.25">
      <c r="H290" s="30" t="s">
        <v>192</v>
      </c>
      <c r="J290" s="13" t="s">
        <v>389</v>
      </c>
    </row>
    <row r="291" spans="1:21" ht="18.75" customHeight="1" x14ac:dyDescent="0.25">
      <c r="H291" s="30" t="s">
        <v>192</v>
      </c>
      <c r="J291" s="18">
        <f>0.95*J263</f>
        <v>342</v>
      </c>
      <c r="K291" s="13" t="s">
        <v>10</v>
      </c>
    </row>
    <row r="292" spans="1:21" ht="17.25" customHeight="1" x14ac:dyDescent="0.25">
      <c r="B292" s="16" t="s">
        <v>170</v>
      </c>
      <c r="C292" s="16"/>
      <c r="D292" s="16"/>
      <c r="E292" s="16"/>
      <c r="H292" s="30" t="s">
        <v>192</v>
      </c>
      <c r="J292" s="16" t="s">
        <v>160</v>
      </c>
      <c r="K292" s="16"/>
    </row>
    <row r="293" spans="1:21" ht="17.25" customHeight="1" x14ac:dyDescent="0.25">
      <c r="B293" s="16"/>
      <c r="C293" s="16"/>
      <c r="D293" s="16"/>
      <c r="E293" s="16"/>
      <c r="H293" s="30" t="s">
        <v>192</v>
      </c>
      <c r="J293" s="16" t="s">
        <v>390</v>
      </c>
      <c r="K293" s="16"/>
    </row>
    <row r="294" spans="1:21" ht="18" customHeight="1" x14ac:dyDescent="0.25">
      <c r="H294" s="30" t="s">
        <v>192</v>
      </c>
      <c r="J294" s="18">
        <f>0.95*J266</f>
        <v>832.99800000000005</v>
      </c>
      <c r="K294" s="13" t="s">
        <v>10</v>
      </c>
    </row>
    <row r="295" spans="1:21" s="16" customFormat="1" ht="19.5" customHeight="1" x14ac:dyDescent="0.25">
      <c r="A295" s="154"/>
      <c r="B295" s="21" t="s">
        <v>169</v>
      </c>
      <c r="H295" s="30" t="s">
        <v>192</v>
      </c>
      <c r="I295" s="147"/>
      <c r="J295" s="93" t="s">
        <v>288</v>
      </c>
      <c r="K295" s="101"/>
      <c r="L295" s="101"/>
      <c r="M295" s="101"/>
      <c r="N295" s="101"/>
      <c r="O295" s="101"/>
      <c r="Q295" s="125"/>
      <c r="R295" s="125"/>
      <c r="U295" s="35"/>
    </row>
    <row r="296" spans="1:21" s="16" customFormat="1" ht="19.5" customHeight="1" x14ac:dyDescent="0.25">
      <c r="A296" s="154"/>
      <c r="B296" s="21"/>
      <c r="H296" s="147" t="s">
        <v>192</v>
      </c>
      <c r="I296" s="147"/>
      <c r="J296" s="150" t="s">
        <v>387</v>
      </c>
      <c r="K296" s="189"/>
      <c r="L296" s="189"/>
      <c r="M296" s="189"/>
      <c r="N296" s="136"/>
      <c r="O296" s="101"/>
      <c r="Q296" s="138"/>
      <c r="R296" s="138"/>
      <c r="U296" s="35"/>
    </row>
    <row r="297" spans="1:21" ht="18" customHeight="1" x14ac:dyDescent="0.25">
      <c r="B297" s="16"/>
      <c r="C297" s="16"/>
      <c r="D297" s="16"/>
      <c r="E297" s="16"/>
      <c r="F297" s="16"/>
      <c r="G297" s="16"/>
      <c r="H297" s="147" t="s">
        <v>192</v>
      </c>
      <c r="I297" s="147"/>
      <c r="J297" s="19">
        <f>J269*(J285/J252)</f>
        <v>0.16815411114476075</v>
      </c>
      <c r="K297" s="16" t="s">
        <v>10</v>
      </c>
      <c r="L297" s="16"/>
      <c r="M297" s="16"/>
      <c r="N297" s="16"/>
    </row>
    <row r="298" spans="1:21" ht="18.75" x14ac:dyDescent="0.35">
      <c r="B298" s="13" t="s">
        <v>5</v>
      </c>
      <c r="H298" s="30" t="s">
        <v>192</v>
      </c>
      <c r="J298" s="15" t="s">
        <v>374</v>
      </c>
    </row>
    <row r="299" spans="1:21" ht="17.25" customHeight="1" x14ac:dyDescent="0.25">
      <c r="H299" s="30" t="s">
        <v>192</v>
      </c>
      <c r="J299" s="19" t="s">
        <v>454</v>
      </c>
      <c r="K299" s="16"/>
      <c r="L299" s="16"/>
      <c r="M299" s="16"/>
    </row>
    <row r="300" spans="1:21" ht="17.25" customHeight="1" x14ac:dyDescent="0.25">
      <c r="H300" s="30" t="s">
        <v>192</v>
      </c>
      <c r="J300" s="19">
        <f>J294+J297</f>
        <v>833.16615411114481</v>
      </c>
      <c r="K300" s="16" t="s">
        <v>10</v>
      </c>
      <c r="L300" s="16"/>
      <c r="M300" s="16"/>
    </row>
    <row r="301" spans="1:21" ht="19.5" customHeight="1" x14ac:dyDescent="0.25">
      <c r="B301" s="215" t="s">
        <v>316</v>
      </c>
      <c r="C301" s="215"/>
      <c r="D301" s="215"/>
      <c r="E301" s="215"/>
      <c r="F301" s="215"/>
      <c r="G301" s="174"/>
      <c r="H301" s="22" t="s">
        <v>192</v>
      </c>
      <c r="I301" s="22"/>
      <c r="J301" s="115">
        <f>J275</f>
        <v>0.73118279569892475</v>
      </c>
      <c r="K301" s="16"/>
      <c r="L301" s="16"/>
      <c r="M301" s="16"/>
    </row>
    <row r="302" spans="1:21" ht="19.5" customHeight="1" x14ac:dyDescent="0.25">
      <c r="B302" s="206"/>
      <c r="C302" s="206"/>
      <c r="D302" s="206"/>
      <c r="E302" s="206"/>
      <c r="F302" s="206"/>
      <c r="G302" s="206"/>
      <c r="H302" s="22"/>
      <c r="I302" s="22"/>
      <c r="J302" s="115"/>
      <c r="K302" s="16"/>
      <c r="L302" s="16"/>
      <c r="M302" s="16"/>
    </row>
    <row r="303" spans="1:21" ht="20.25" customHeight="1" x14ac:dyDescent="0.25">
      <c r="A303" s="157">
        <v>2.5</v>
      </c>
      <c r="B303" s="117" t="s">
        <v>71</v>
      </c>
    </row>
    <row r="304" spans="1:21" ht="12.75" customHeight="1" x14ac:dyDescent="0.25">
      <c r="A304" s="153"/>
      <c r="B304" s="38"/>
      <c r="C304" s="40"/>
    </row>
    <row r="305" spans="1:21" ht="21.75" customHeight="1" x14ac:dyDescent="0.25">
      <c r="A305" s="153" t="s">
        <v>197</v>
      </c>
      <c r="B305" s="37" t="s">
        <v>251</v>
      </c>
      <c r="C305" s="40"/>
    </row>
    <row r="306" spans="1:21" ht="30.75" customHeight="1" x14ac:dyDescent="0.25">
      <c r="B306" s="48" t="s">
        <v>253</v>
      </c>
      <c r="C306" s="48"/>
      <c r="D306" s="48"/>
      <c r="E306" s="48"/>
      <c r="F306" s="48"/>
      <c r="G306" s="48"/>
      <c r="H306" s="105" t="s">
        <v>192</v>
      </c>
      <c r="I306" s="105"/>
      <c r="J306" s="218" t="s">
        <v>254</v>
      </c>
      <c r="K306" s="218"/>
      <c r="L306" s="218"/>
      <c r="M306" s="218"/>
      <c r="N306" s="100"/>
      <c r="O306" s="32"/>
      <c r="P306" s="34"/>
      <c r="Q306" s="34"/>
    </row>
    <row r="307" spans="1:21" ht="18" customHeight="1" x14ac:dyDescent="0.25">
      <c r="B307" s="48" t="s">
        <v>2</v>
      </c>
      <c r="C307" s="48"/>
      <c r="D307" s="48"/>
      <c r="E307" s="48"/>
      <c r="F307" s="48"/>
      <c r="G307" s="48"/>
      <c r="H307" s="105" t="s">
        <v>192</v>
      </c>
      <c r="I307" s="105"/>
      <c r="J307" s="105" t="s">
        <v>418</v>
      </c>
      <c r="K307" s="139"/>
      <c r="L307" s="139"/>
      <c r="M307" s="139"/>
      <c r="N307" s="139"/>
      <c r="O307" s="32"/>
      <c r="P307" s="34"/>
      <c r="Q307" s="34"/>
    </row>
    <row r="308" spans="1:21" ht="18" customHeight="1" x14ac:dyDescent="0.25">
      <c r="B308" s="12"/>
      <c r="H308" s="105" t="s">
        <v>192</v>
      </c>
      <c r="J308" s="18">
        <f>J282+J113</f>
        <v>51295.998</v>
      </c>
      <c r="K308" s="13" t="s">
        <v>10</v>
      </c>
    </row>
    <row r="309" spans="1:21" ht="18.75" customHeight="1" x14ac:dyDescent="0.25">
      <c r="B309" s="13" t="s">
        <v>224</v>
      </c>
      <c r="H309" s="112" t="s">
        <v>192</v>
      </c>
      <c r="J309" s="16">
        <v>1.03</v>
      </c>
    </row>
    <row r="310" spans="1:21" ht="18.75" customHeight="1" x14ac:dyDescent="0.25">
      <c r="B310" s="13" t="s">
        <v>225</v>
      </c>
      <c r="H310" s="112" t="s">
        <v>192</v>
      </c>
      <c r="J310" s="13" t="s">
        <v>451</v>
      </c>
    </row>
    <row r="311" spans="1:21" s="16" customFormat="1" ht="18" customHeight="1" x14ac:dyDescent="0.25">
      <c r="A311" s="154"/>
      <c r="H311" s="147" t="s">
        <v>192</v>
      </c>
      <c r="I311" s="147"/>
      <c r="J311" s="97">
        <v>8</v>
      </c>
      <c r="K311" s="121" t="s">
        <v>47</v>
      </c>
      <c r="L311" s="121"/>
      <c r="U311" s="35"/>
    </row>
    <row r="312" spans="1:21" s="16" customFormat="1" ht="18" customHeight="1" x14ac:dyDescent="0.35">
      <c r="A312" s="154"/>
      <c r="B312" s="16" t="s">
        <v>252</v>
      </c>
      <c r="H312" s="150" t="s">
        <v>192</v>
      </c>
      <c r="I312" s="147"/>
      <c r="J312" s="98">
        <f>J308/(10*J311*J309)</f>
        <v>622.52424757281551</v>
      </c>
      <c r="K312" s="21" t="s">
        <v>54</v>
      </c>
      <c r="L312" s="121"/>
      <c r="M312" s="121"/>
      <c r="U312" s="35"/>
    </row>
    <row r="313" spans="1:21" ht="18.75" x14ac:dyDescent="0.35">
      <c r="B313" s="13" t="s">
        <v>64</v>
      </c>
      <c r="H313" s="105" t="s">
        <v>192</v>
      </c>
      <c r="J313" s="15" t="s">
        <v>419</v>
      </c>
    </row>
    <row r="314" spans="1:21" ht="18" customHeight="1" x14ac:dyDescent="0.25">
      <c r="H314" s="105" t="s">
        <v>192</v>
      </c>
      <c r="J314" s="15">
        <f>J288+J119</f>
        <v>28354.659133272056</v>
      </c>
      <c r="K314" s="13" t="s">
        <v>10</v>
      </c>
    </row>
    <row r="315" spans="1:21" ht="17.25" customHeight="1" x14ac:dyDescent="0.25">
      <c r="B315" s="13" t="s">
        <v>4</v>
      </c>
      <c r="H315" s="105" t="s">
        <v>192</v>
      </c>
      <c r="J315" s="15" t="s">
        <v>391</v>
      </c>
    </row>
    <row r="316" spans="1:21" ht="17.25" customHeight="1" x14ac:dyDescent="0.25">
      <c r="H316" s="105" t="s">
        <v>192</v>
      </c>
      <c r="J316" s="15">
        <f>J291+J122</f>
        <v>918.07999999999993</v>
      </c>
      <c r="K316" s="13" t="s">
        <v>10</v>
      </c>
    </row>
    <row r="317" spans="1:21" x14ac:dyDescent="0.25">
      <c r="B317" s="13" t="s">
        <v>3</v>
      </c>
      <c r="H317" s="105" t="s">
        <v>192</v>
      </c>
      <c r="J317" s="15" t="s">
        <v>420</v>
      </c>
    </row>
    <row r="318" spans="1:21" ht="18" customHeight="1" x14ac:dyDescent="0.25">
      <c r="H318" s="105" t="s">
        <v>192</v>
      </c>
      <c r="J318" s="15">
        <f>J294+J125</f>
        <v>2149.6980000000003</v>
      </c>
      <c r="K318" s="13" t="s">
        <v>10</v>
      </c>
    </row>
    <row r="319" spans="1:21" ht="18.75" x14ac:dyDescent="0.35">
      <c r="B319" s="16" t="s">
        <v>145</v>
      </c>
      <c r="C319" s="16"/>
      <c r="D319" s="16"/>
      <c r="E319" s="16"/>
      <c r="F319" s="16"/>
      <c r="G319" s="16"/>
      <c r="H319" s="150" t="s">
        <v>192</v>
      </c>
      <c r="I319" s="147"/>
      <c r="J319" s="19" t="s">
        <v>392</v>
      </c>
      <c r="K319" s="16"/>
      <c r="L319" s="16"/>
      <c r="M319" s="16"/>
    </row>
    <row r="320" spans="1:21" ht="16.5" customHeight="1" x14ac:dyDescent="0.25">
      <c r="B320" s="16"/>
      <c r="C320" s="16"/>
      <c r="D320" s="16"/>
      <c r="E320" s="16"/>
      <c r="F320" s="16"/>
      <c r="G320" s="16"/>
      <c r="H320" s="150" t="s">
        <v>192</v>
      </c>
      <c r="I320" s="147"/>
      <c r="J320" s="19">
        <f>J297+J128</f>
        <v>0.45729896257066116</v>
      </c>
      <c r="K320" s="16" t="s">
        <v>10</v>
      </c>
      <c r="L320" s="16"/>
      <c r="M320" s="16"/>
    </row>
    <row r="321" spans="1:25" ht="18.75" customHeight="1" x14ac:dyDescent="0.25">
      <c r="B321" s="16" t="s">
        <v>5</v>
      </c>
      <c r="C321" s="16"/>
      <c r="D321" s="16"/>
      <c r="E321" s="16"/>
      <c r="F321" s="16"/>
      <c r="G321" s="16"/>
      <c r="H321" s="150" t="s">
        <v>192</v>
      </c>
      <c r="I321" s="147"/>
      <c r="J321" s="19" t="s">
        <v>421</v>
      </c>
      <c r="K321" s="16"/>
      <c r="L321" s="16"/>
      <c r="M321" s="16"/>
    </row>
    <row r="322" spans="1:25" ht="17.25" customHeight="1" x14ac:dyDescent="0.25">
      <c r="B322" s="16"/>
      <c r="C322" s="16"/>
      <c r="D322" s="16"/>
      <c r="E322" s="16"/>
      <c r="F322" s="16"/>
      <c r="G322" s="16"/>
      <c r="H322" s="150" t="s">
        <v>192</v>
      </c>
      <c r="I322" s="147"/>
      <c r="J322" s="19">
        <f>J320+J318</f>
        <v>2150.1552989625711</v>
      </c>
      <c r="K322" s="16" t="s">
        <v>10</v>
      </c>
      <c r="L322" s="16"/>
      <c r="M322" s="16"/>
    </row>
    <row r="323" spans="1:25" ht="63" customHeight="1" x14ac:dyDescent="0.25">
      <c r="B323" s="48" t="s">
        <v>126</v>
      </c>
      <c r="H323" s="105" t="s">
        <v>192</v>
      </c>
      <c r="I323" s="105"/>
      <c r="J323" s="221" t="s">
        <v>127</v>
      </c>
      <c r="K323" s="221"/>
      <c r="L323" s="221"/>
      <c r="M323" s="221"/>
      <c r="N323" s="170"/>
    </row>
    <row r="324" spans="1:25" ht="32.25" customHeight="1" x14ac:dyDescent="0.25">
      <c r="B324" s="48"/>
      <c r="H324" s="105" t="s">
        <v>192</v>
      </c>
      <c r="I324" s="105"/>
      <c r="J324" s="221" t="s">
        <v>422</v>
      </c>
      <c r="K324" s="221"/>
      <c r="L324" s="221"/>
      <c r="M324" s="221"/>
      <c r="N324" s="140"/>
    </row>
    <row r="325" spans="1:25" ht="17.25" customHeight="1" x14ac:dyDescent="0.25">
      <c r="B325" s="48"/>
      <c r="H325" s="105" t="s">
        <v>192</v>
      </c>
      <c r="I325" s="105"/>
      <c r="J325" s="171">
        <f>((J301*J282)+(J132*J113))/(J113+J282)</f>
        <v>0.71210462851312495</v>
      </c>
      <c r="K325" s="46"/>
      <c r="L325" s="46"/>
      <c r="M325" s="134"/>
      <c r="N325" s="46"/>
      <c r="O325" s="16"/>
    </row>
    <row r="326" spans="1:25" ht="17.25" customHeight="1" x14ac:dyDescent="0.25">
      <c r="B326" s="16" t="s">
        <v>171</v>
      </c>
      <c r="C326" s="16"/>
      <c r="D326" s="16"/>
      <c r="E326" s="16"/>
      <c r="F326" s="16"/>
      <c r="G326" s="16"/>
      <c r="H326" s="105" t="s">
        <v>192</v>
      </c>
      <c r="I326" s="147"/>
      <c r="J326" s="19">
        <f>J325*100</f>
        <v>71.210462851312499</v>
      </c>
      <c r="K326" s="16" t="s">
        <v>130</v>
      </c>
      <c r="L326" s="16"/>
      <c r="M326" s="16"/>
      <c r="N326" s="91"/>
      <c r="O326" s="16"/>
    </row>
    <row r="327" spans="1:25" ht="17.25" customHeight="1" x14ac:dyDescent="0.25">
      <c r="B327" s="16"/>
      <c r="C327" s="16"/>
      <c r="D327" s="16"/>
      <c r="E327" s="16"/>
      <c r="F327" s="16"/>
      <c r="G327" s="16"/>
      <c r="H327" s="105" t="s">
        <v>192</v>
      </c>
      <c r="I327" s="147"/>
      <c r="J327" s="19" t="s">
        <v>423</v>
      </c>
      <c r="K327" s="16"/>
      <c r="L327" s="16"/>
      <c r="M327" s="16"/>
      <c r="N327" s="91"/>
      <c r="O327" s="16"/>
    </row>
    <row r="328" spans="1:25" ht="17.25" customHeight="1" x14ac:dyDescent="0.25">
      <c r="B328" s="16"/>
      <c r="C328" s="16"/>
      <c r="D328" s="16"/>
      <c r="E328" s="16"/>
      <c r="F328" s="16"/>
      <c r="G328" s="16"/>
      <c r="H328" s="105" t="s">
        <v>192</v>
      </c>
      <c r="I328" s="147"/>
      <c r="J328" s="47">
        <f>J325*J308</f>
        <v>36528.117599999998</v>
      </c>
      <c r="K328" s="16" t="s">
        <v>10</v>
      </c>
      <c r="L328" s="16"/>
      <c r="M328" s="16"/>
      <c r="N328" s="91"/>
      <c r="O328" s="16"/>
    </row>
    <row r="329" spans="1:25" x14ac:dyDescent="0.25">
      <c r="A329" s="158"/>
    </row>
    <row r="330" spans="1:25" ht="19.5" customHeight="1" x14ac:dyDescent="0.25">
      <c r="A330" s="157" t="s">
        <v>197</v>
      </c>
      <c r="B330" s="113" t="s">
        <v>255</v>
      </c>
      <c r="C330" s="21"/>
      <c r="D330" s="21"/>
      <c r="E330" s="21"/>
      <c r="F330" s="21"/>
      <c r="G330" s="21"/>
      <c r="H330" s="112"/>
      <c r="I330" s="112"/>
      <c r="J330" s="24"/>
      <c r="K330" s="21"/>
      <c r="L330" s="16"/>
      <c r="M330" s="16"/>
      <c r="N330" s="16"/>
    </row>
    <row r="331" spans="1:25" s="62" customFormat="1" ht="18.75" customHeight="1" x14ac:dyDescent="0.25">
      <c r="A331" s="155"/>
      <c r="B331" s="200" t="s">
        <v>289</v>
      </c>
      <c r="C331" s="121"/>
      <c r="D331" s="121"/>
      <c r="E331" s="121"/>
      <c r="F331" s="121"/>
      <c r="G331" s="121"/>
      <c r="H331" s="147"/>
      <c r="I331" s="147"/>
      <c r="J331" s="121"/>
      <c r="K331" s="121"/>
      <c r="L331" s="121"/>
      <c r="M331" s="121"/>
      <c r="N331" s="121"/>
      <c r="U331" s="199"/>
      <c r="W331" s="121"/>
      <c r="Y331" s="121"/>
    </row>
    <row r="332" spans="1:25" ht="18.75" x14ac:dyDescent="0.25">
      <c r="B332" s="21" t="s">
        <v>59</v>
      </c>
      <c r="C332" s="21"/>
      <c r="D332" s="21"/>
      <c r="E332" s="21"/>
      <c r="F332" s="21"/>
      <c r="G332" s="21"/>
      <c r="H332" s="112" t="s">
        <v>192</v>
      </c>
      <c r="I332" s="112"/>
      <c r="J332" s="90">
        <v>60</v>
      </c>
      <c r="K332" s="21" t="s">
        <v>47</v>
      </c>
      <c r="L332" s="16"/>
      <c r="M332" s="16"/>
      <c r="N332" s="16"/>
    </row>
    <row r="333" spans="1:25" s="16" customFormat="1" ht="19.5" customHeight="1" x14ac:dyDescent="0.25">
      <c r="A333" s="154"/>
      <c r="B333" s="21" t="s">
        <v>393</v>
      </c>
      <c r="C333" s="21"/>
      <c r="D333" s="21"/>
      <c r="E333" s="21"/>
      <c r="F333" s="21"/>
      <c r="G333" s="21"/>
      <c r="H333" s="112" t="s">
        <v>192</v>
      </c>
      <c r="I333" s="112"/>
      <c r="J333" s="90" t="s">
        <v>455</v>
      </c>
      <c r="K333" s="21"/>
      <c r="U333" s="35"/>
    </row>
    <row r="334" spans="1:25" s="16" customFormat="1" ht="21" customHeight="1" x14ac:dyDescent="0.25">
      <c r="A334" s="154"/>
      <c r="B334" s="21"/>
      <c r="C334" s="21"/>
      <c r="D334" s="21"/>
      <c r="E334" s="21"/>
      <c r="F334" s="21"/>
      <c r="G334" s="21"/>
      <c r="H334" s="112" t="s">
        <v>192</v>
      </c>
      <c r="I334" s="112"/>
      <c r="J334" s="90" t="s">
        <v>394</v>
      </c>
      <c r="K334" s="21"/>
      <c r="U334" s="35"/>
    </row>
    <row r="335" spans="1:25" s="16" customFormat="1" ht="18.75" customHeight="1" x14ac:dyDescent="0.25">
      <c r="A335" s="154"/>
      <c r="C335" s="21"/>
      <c r="D335" s="21"/>
      <c r="E335" s="21"/>
      <c r="F335" s="21"/>
      <c r="G335" s="21"/>
      <c r="H335" s="112" t="s">
        <v>192</v>
      </c>
      <c r="I335" s="112"/>
      <c r="J335" s="98">
        <f>((0.67*24)+36)</f>
        <v>52.08</v>
      </c>
      <c r="K335" s="21" t="s">
        <v>47</v>
      </c>
      <c r="U335" s="35"/>
    </row>
    <row r="336" spans="1:25" ht="18.75" customHeight="1" x14ac:dyDescent="0.25">
      <c r="B336" s="214" t="s">
        <v>78</v>
      </c>
      <c r="C336" s="214"/>
      <c r="D336" s="214"/>
      <c r="E336" s="214"/>
      <c r="F336" s="214"/>
      <c r="G336" s="130"/>
      <c r="H336" s="112" t="s">
        <v>192</v>
      </c>
      <c r="I336" s="112"/>
      <c r="J336" s="90">
        <v>15</v>
      </c>
      <c r="K336" s="21" t="s">
        <v>47</v>
      </c>
      <c r="L336" s="16"/>
      <c r="M336" s="16"/>
      <c r="N336" s="16"/>
    </row>
    <row r="337" spans="2:14" ht="18" customHeight="1" x14ac:dyDescent="0.25">
      <c r="B337" s="21" t="s">
        <v>63</v>
      </c>
      <c r="C337" s="21"/>
      <c r="D337" s="21"/>
      <c r="E337" s="21"/>
      <c r="F337" s="21"/>
      <c r="G337" s="21"/>
      <c r="H337" s="112" t="s">
        <v>192</v>
      </c>
      <c r="I337" s="112"/>
      <c r="J337" s="90">
        <v>10</v>
      </c>
      <c r="K337" s="21" t="s">
        <v>47</v>
      </c>
      <c r="L337" s="16"/>
      <c r="M337" s="16"/>
      <c r="N337" s="16"/>
    </row>
    <row r="338" spans="2:14" ht="17.25" customHeight="1" x14ac:dyDescent="0.25">
      <c r="B338" s="217" t="s">
        <v>60</v>
      </c>
      <c r="C338" s="217"/>
      <c r="D338" s="217"/>
      <c r="E338" s="217"/>
      <c r="F338" s="217"/>
      <c r="G338" s="131"/>
      <c r="H338" s="112" t="s">
        <v>192</v>
      </c>
      <c r="I338" s="147"/>
      <c r="J338" s="26" t="s">
        <v>152</v>
      </c>
      <c r="K338" s="16"/>
      <c r="L338" s="16"/>
      <c r="M338" s="16"/>
      <c r="N338" s="16"/>
    </row>
    <row r="339" spans="2:14" ht="20.25" customHeight="1" x14ac:dyDescent="0.25">
      <c r="B339" s="217"/>
      <c r="C339" s="217"/>
      <c r="D339" s="217"/>
      <c r="E339" s="217"/>
      <c r="F339" s="217"/>
      <c r="G339" s="131"/>
      <c r="H339" s="112" t="s">
        <v>192</v>
      </c>
      <c r="I339" s="112"/>
      <c r="J339" s="21" t="s">
        <v>395</v>
      </c>
      <c r="K339" s="106"/>
      <c r="L339" s="106"/>
      <c r="M339" s="106"/>
      <c r="N339" s="106"/>
    </row>
    <row r="340" spans="2:14" ht="17.25" customHeight="1" x14ac:dyDescent="0.25">
      <c r="B340" s="21"/>
      <c r="C340" s="21"/>
      <c r="D340" s="21"/>
      <c r="E340" s="21"/>
      <c r="F340" s="21"/>
      <c r="G340" s="21"/>
      <c r="H340" s="112" t="s">
        <v>192</v>
      </c>
      <c r="I340" s="112"/>
      <c r="J340" s="98">
        <f>((J325*(1-(J335/100)))+((1-J325)))*J308</f>
        <v>32272.154353920003</v>
      </c>
      <c r="K340" s="21" t="s">
        <v>10</v>
      </c>
      <c r="L340" s="16"/>
      <c r="M340" s="16"/>
      <c r="N340" s="16"/>
    </row>
    <row r="341" spans="2:14" ht="18.75" customHeight="1" x14ac:dyDescent="0.25">
      <c r="B341" s="121" t="s">
        <v>128</v>
      </c>
      <c r="C341" s="21"/>
      <c r="D341" s="21"/>
      <c r="E341" s="21"/>
      <c r="F341" s="21"/>
      <c r="G341" s="21"/>
      <c r="H341" s="112" t="s">
        <v>192</v>
      </c>
      <c r="I341" s="112"/>
      <c r="J341" s="97">
        <f>100-J335</f>
        <v>47.92</v>
      </c>
      <c r="K341" s="121" t="s">
        <v>129</v>
      </c>
      <c r="L341" s="121"/>
      <c r="M341" s="16"/>
      <c r="N341" s="16"/>
    </row>
    <row r="342" spans="2:14" ht="17.25" customHeight="1" x14ac:dyDescent="0.25">
      <c r="B342" s="21"/>
      <c r="C342" s="21"/>
      <c r="D342" s="21"/>
      <c r="E342" s="21"/>
      <c r="F342" s="21"/>
      <c r="G342" s="21"/>
      <c r="H342" s="112" t="s">
        <v>192</v>
      </c>
      <c r="I342" s="112"/>
      <c r="J342" s="98">
        <f>(J341/100)*J328</f>
        <v>17504.273953920001</v>
      </c>
      <c r="K342" s="21" t="s">
        <v>10</v>
      </c>
      <c r="L342" s="16"/>
      <c r="M342" s="16"/>
      <c r="N342" s="16"/>
    </row>
    <row r="343" spans="2:14" ht="12.75" customHeight="1" x14ac:dyDescent="0.25">
      <c r="B343" s="21"/>
      <c r="C343" s="21"/>
      <c r="D343" s="21"/>
      <c r="E343" s="21"/>
      <c r="F343" s="21"/>
      <c r="G343" s="21"/>
      <c r="H343" s="112"/>
      <c r="I343" s="112"/>
      <c r="J343" s="96"/>
      <c r="K343" s="93"/>
      <c r="L343" s="16"/>
      <c r="M343" s="16"/>
      <c r="N343" s="16"/>
    </row>
    <row r="344" spans="2:14" ht="65.25" customHeight="1" x14ac:dyDescent="0.25">
      <c r="B344" s="213" t="s">
        <v>317</v>
      </c>
      <c r="C344" s="213"/>
      <c r="D344" s="213"/>
      <c r="E344" s="213"/>
      <c r="F344" s="213"/>
      <c r="G344" s="213"/>
      <c r="H344" s="213"/>
      <c r="I344" s="213"/>
      <c r="J344" s="213"/>
      <c r="K344" s="213"/>
      <c r="L344" s="213"/>
      <c r="M344" s="213"/>
      <c r="N344" s="16"/>
    </row>
    <row r="345" spans="2:14" ht="12.75" customHeight="1" x14ac:dyDescent="0.25">
      <c r="B345" s="136"/>
      <c r="C345" s="136"/>
      <c r="D345" s="136"/>
      <c r="E345" s="136"/>
      <c r="F345" s="136"/>
      <c r="G345" s="136"/>
      <c r="H345" s="136"/>
      <c r="I345" s="136"/>
      <c r="J345" s="136"/>
      <c r="K345" s="136"/>
      <c r="L345" s="136"/>
      <c r="M345" s="136"/>
      <c r="N345" s="16"/>
    </row>
    <row r="346" spans="2:14" ht="18.75" x14ac:dyDescent="0.25">
      <c r="B346" s="21" t="s">
        <v>256</v>
      </c>
      <c r="C346" s="21"/>
      <c r="D346" s="21"/>
      <c r="E346" s="21"/>
      <c r="F346" s="21"/>
      <c r="G346" s="21"/>
      <c r="H346" s="112" t="s">
        <v>192</v>
      </c>
      <c r="I346" s="112"/>
      <c r="J346" s="96">
        <f>J340</f>
        <v>32272.154353920003</v>
      </c>
      <c r="K346" s="121" t="s">
        <v>10</v>
      </c>
      <c r="L346" s="16"/>
      <c r="M346" s="16"/>
      <c r="N346" s="16"/>
    </row>
    <row r="347" spans="2:14" ht="32.25" customHeight="1" x14ac:dyDescent="0.25">
      <c r="B347" s="217" t="s">
        <v>131</v>
      </c>
      <c r="C347" s="217"/>
      <c r="D347" s="217"/>
      <c r="E347" s="217"/>
      <c r="F347" s="217"/>
      <c r="G347" s="21"/>
      <c r="H347" s="150" t="s">
        <v>192</v>
      </c>
      <c r="I347" s="150"/>
      <c r="J347" s="99" t="s">
        <v>424</v>
      </c>
      <c r="K347" s="93"/>
      <c r="L347" s="93"/>
      <c r="M347" s="93"/>
      <c r="N347" s="16"/>
    </row>
    <row r="348" spans="2:14" x14ac:dyDescent="0.25">
      <c r="G348" s="131"/>
      <c r="H348" s="112" t="s">
        <v>192</v>
      </c>
      <c r="I348" s="149"/>
      <c r="J348" s="99">
        <f>J342/J346</f>
        <v>0.54239558233253826</v>
      </c>
      <c r="K348" s="93"/>
      <c r="L348" s="16"/>
      <c r="M348" s="16"/>
      <c r="N348" s="16"/>
    </row>
    <row r="349" spans="2:14" ht="36" customHeight="1" x14ac:dyDescent="0.25">
      <c r="B349" s="217" t="s">
        <v>188</v>
      </c>
      <c r="C349" s="217"/>
      <c r="D349" s="217"/>
      <c r="E349" s="217"/>
      <c r="F349" s="217"/>
      <c r="G349" s="131"/>
      <c r="H349" s="150" t="s">
        <v>192</v>
      </c>
      <c r="I349" s="150"/>
      <c r="J349" s="162" t="s">
        <v>322</v>
      </c>
      <c r="K349" s="162"/>
      <c r="L349" s="162"/>
      <c r="M349" s="162"/>
      <c r="N349" s="162"/>
    </row>
    <row r="350" spans="2:14" ht="20.25" x14ac:dyDescent="0.35">
      <c r="B350" s="21" t="s">
        <v>61</v>
      </c>
      <c r="C350" s="21"/>
      <c r="D350" s="21"/>
      <c r="E350" s="21"/>
      <c r="F350" s="16"/>
      <c r="G350" s="16"/>
      <c r="H350" s="150" t="s">
        <v>192</v>
      </c>
      <c r="I350" s="112"/>
      <c r="J350" s="114" t="s">
        <v>321</v>
      </c>
      <c r="K350" s="114"/>
      <c r="L350" s="114"/>
      <c r="M350" s="114"/>
      <c r="N350" s="91"/>
    </row>
    <row r="351" spans="2:14" ht="18.75" customHeight="1" x14ac:dyDescent="0.25">
      <c r="B351" s="214" t="s">
        <v>189</v>
      </c>
      <c r="C351" s="214"/>
      <c r="D351" s="214"/>
      <c r="E351" s="214"/>
      <c r="F351" s="214"/>
      <c r="G351" s="173"/>
      <c r="H351" s="150" t="s">
        <v>192</v>
      </c>
      <c r="I351" s="112"/>
      <c r="J351" s="115">
        <f>J340</f>
        <v>32272.154353920003</v>
      </c>
      <c r="K351" s="103" t="s">
        <v>10</v>
      </c>
      <c r="L351" s="103"/>
      <c r="M351" s="103"/>
      <c r="N351" s="103"/>
    </row>
    <row r="352" spans="2:14" ht="18.75" x14ac:dyDescent="0.25">
      <c r="B352" s="21" t="s">
        <v>290</v>
      </c>
      <c r="C352" s="21"/>
      <c r="D352" s="21"/>
      <c r="E352" s="21"/>
      <c r="F352" s="16"/>
      <c r="G352" s="16"/>
      <c r="H352" s="150" t="s">
        <v>192</v>
      </c>
      <c r="I352" s="112"/>
      <c r="J352" s="92">
        <f>J312</f>
        <v>622.52424757281551</v>
      </c>
      <c r="K352" s="104" t="s">
        <v>54</v>
      </c>
      <c r="L352" s="116"/>
      <c r="M352" s="116"/>
      <c r="N352" s="91"/>
    </row>
    <row r="353" spans="1:25" ht="18.75" x14ac:dyDescent="0.35">
      <c r="B353" s="16" t="s">
        <v>132</v>
      </c>
      <c r="C353" s="16"/>
      <c r="D353" s="16"/>
      <c r="E353" s="16"/>
      <c r="F353" s="16"/>
      <c r="G353" s="16"/>
      <c r="H353" s="147"/>
      <c r="I353" s="147"/>
      <c r="J353" s="16"/>
      <c r="K353" s="16"/>
      <c r="L353" s="16"/>
      <c r="M353" s="16"/>
      <c r="N353" s="16"/>
    </row>
    <row r="354" spans="1:25" ht="18.75" x14ac:dyDescent="0.25">
      <c r="B354" s="16" t="s">
        <v>133</v>
      </c>
      <c r="C354" s="16"/>
      <c r="D354" s="16"/>
      <c r="E354" s="16"/>
      <c r="F354" s="16"/>
      <c r="G354" s="16"/>
      <c r="H354" s="147" t="s">
        <v>192</v>
      </c>
      <c r="I354" s="147"/>
      <c r="J354" s="16" t="s">
        <v>425</v>
      </c>
      <c r="K354" s="16"/>
      <c r="L354" s="16"/>
      <c r="M354" s="16"/>
      <c r="N354" s="16"/>
    </row>
    <row r="355" spans="1:25" ht="16.5" customHeight="1" x14ac:dyDescent="0.25">
      <c r="C355" s="16"/>
      <c r="D355" s="16"/>
      <c r="E355" s="16"/>
      <c r="F355" s="16"/>
      <c r="G355" s="16"/>
      <c r="H355" s="147" t="s">
        <v>192</v>
      </c>
      <c r="I355" s="147"/>
      <c r="J355" s="207">
        <f>1/((J352*1.03*1000)/J351)</f>
        <v>5.0330872757629166E-2</v>
      </c>
      <c r="K355" s="16"/>
      <c r="L355" s="16"/>
      <c r="M355" s="16"/>
      <c r="N355" s="16"/>
    </row>
    <row r="356" spans="1:25" ht="16.5" customHeight="1" x14ac:dyDescent="0.25">
      <c r="B356" s="16"/>
      <c r="C356" s="16"/>
      <c r="D356" s="16"/>
      <c r="E356" s="16"/>
      <c r="F356" s="16"/>
      <c r="G356" s="16"/>
      <c r="H356" s="147" t="s">
        <v>192</v>
      </c>
      <c r="I356" s="147"/>
      <c r="J356" s="19">
        <f>J355*100</f>
        <v>5.0330872757629166</v>
      </c>
      <c r="K356" s="16" t="s">
        <v>47</v>
      </c>
      <c r="L356" s="16"/>
      <c r="M356" s="16"/>
      <c r="N356" s="16"/>
    </row>
    <row r="357" spans="1:25" ht="18.75" customHeight="1" x14ac:dyDescent="0.25">
      <c r="B357" s="21" t="s">
        <v>65</v>
      </c>
      <c r="C357" s="21"/>
      <c r="D357" s="21"/>
      <c r="E357" s="21"/>
      <c r="F357" s="21"/>
      <c r="G357" s="21"/>
      <c r="H357" s="147" t="s">
        <v>192</v>
      </c>
      <c r="I357" s="112"/>
      <c r="J357" s="21" t="s">
        <v>154</v>
      </c>
      <c r="K357" s="21"/>
      <c r="L357" s="21"/>
      <c r="M357" s="21"/>
      <c r="N357" s="21"/>
      <c r="O357" s="34"/>
      <c r="P357" s="34"/>
      <c r="Q357" s="34"/>
    </row>
    <row r="358" spans="1:25" ht="20.25" customHeight="1" x14ac:dyDescent="0.25">
      <c r="B358" s="21" t="s">
        <v>66</v>
      </c>
      <c r="C358" s="21"/>
      <c r="D358" s="21"/>
      <c r="E358" s="21"/>
      <c r="F358" s="21"/>
      <c r="G358" s="21"/>
      <c r="H358" s="147" t="s">
        <v>192</v>
      </c>
      <c r="I358" s="112"/>
      <c r="J358" s="21" t="s">
        <v>155</v>
      </c>
      <c r="K358" s="21"/>
      <c r="L358" s="21"/>
      <c r="M358" s="21"/>
      <c r="N358" s="21"/>
      <c r="O358" s="32"/>
      <c r="P358" s="32"/>
      <c r="Q358" s="32"/>
    </row>
    <row r="359" spans="1:25" s="14" customFormat="1" ht="18" customHeight="1" x14ac:dyDescent="0.25">
      <c r="A359" s="157"/>
      <c r="B359" s="21"/>
      <c r="C359" s="21"/>
      <c r="D359" s="21"/>
      <c r="E359" s="21"/>
      <c r="F359" s="21"/>
      <c r="G359" s="21"/>
      <c r="H359" s="147" t="s">
        <v>192</v>
      </c>
      <c r="I359" s="112"/>
      <c r="J359" s="98">
        <f>(1-0.6)*J314</f>
        <v>11341.863653308823</v>
      </c>
      <c r="K359" s="21" t="s">
        <v>10</v>
      </c>
      <c r="L359" s="21"/>
      <c r="M359" s="21"/>
      <c r="N359" s="21"/>
      <c r="U359" s="44"/>
      <c r="W359" s="21"/>
      <c r="Y359" s="21"/>
    </row>
    <row r="360" spans="1:25" ht="21" customHeight="1" x14ac:dyDescent="0.25">
      <c r="B360" s="214" t="s">
        <v>65</v>
      </c>
      <c r="C360" s="214"/>
      <c r="D360" s="214"/>
      <c r="E360" s="214"/>
      <c r="F360" s="214"/>
      <c r="G360" s="214"/>
      <c r="H360" s="147" t="s">
        <v>192</v>
      </c>
      <c r="I360" s="112"/>
      <c r="J360" s="98">
        <f>J359</f>
        <v>11341.863653308823</v>
      </c>
      <c r="K360" s="21" t="s">
        <v>10</v>
      </c>
      <c r="L360" s="16"/>
      <c r="M360" s="16"/>
      <c r="N360" s="16"/>
    </row>
    <row r="361" spans="1:25" s="14" customFormat="1" ht="19.5" customHeight="1" x14ac:dyDescent="0.25">
      <c r="A361" s="157"/>
      <c r="B361" s="214" t="s">
        <v>136</v>
      </c>
      <c r="C361" s="214"/>
      <c r="D361" s="214"/>
      <c r="E361" s="214"/>
      <c r="F361" s="214"/>
      <c r="G361" s="130"/>
      <c r="H361" s="112" t="s">
        <v>192</v>
      </c>
      <c r="I361" s="112"/>
      <c r="J361" s="103" t="s">
        <v>134</v>
      </c>
      <c r="K361" s="90"/>
      <c r="L361" s="90"/>
      <c r="M361" s="90"/>
      <c r="N361" s="90"/>
      <c r="O361" s="103"/>
      <c r="P361" s="33"/>
      <c r="Q361" s="33"/>
      <c r="U361" s="44"/>
      <c r="W361" s="21"/>
      <c r="Y361" s="21"/>
    </row>
    <row r="362" spans="1:25" ht="17.25" customHeight="1" x14ac:dyDescent="0.25">
      <c r="B362" s="85"/>
      <c r="C362" s="85"/>
      <c r="D362" s="85"/>
      <c r="E362" s="85"/>
      <c r="F362" s="16"/>
      <c r="G362" s="16"/>
      <c r="H362" s="112" t="s">
        <v>192</v>
      </c>
      <c r="I362" s="112"/>
      <c r="J362" s="98">
        <f>J316</f>
        <v>918.07999999999993</v>
      </c>
      <c r="K362" s="21" t="s">
        <v>10</v>
      </c>
      <c r="L362" s="16"/>
      <c r="M362" s="16"/>
      <c r="N362" s="16"/>
      <c r="O362" s="16"/>
    </row>
    <row r="363" spans="1:25" ht="21" customHeight="1" x14ac:dyDescent="0.25">
      <c r="B363" s="112" t="s">
        <v>137</v>
      </c>
      <c r="C363" s="86"/>
      <c r="D363" s="86"/>
      <c r="E363" s="86"/>
      <c r="F363" s="21"/>
      <c r="G363" s="21"/>
      <c r="H363" s="112" t="s">
        <v>192</v>
      </c>
      <c r="I363" s="112"/>
      <c r="J363" s="90" t="s">
        <v>135</v>
      </c>
      <c r="K363" s="90"/>
      <c r="L363" s="90"/>
      <c r="M363" s="90"/>
      <c r="N363" s="90"/>
      <c r="O363" s="104"/>
      <c r="P363" s="33"/>
      <c r="Q363" s="33"/>
    </row>
    <row r="364" spans="1:25" ht="21" customHeight="1" x14ac:dyDescent="0.25">
      <c r="B364" s="112"/>
      <c r="C364" s="175"/>
      <c r="D364" s="175"/>
      <c r="E364" s="175"/>
      <c r="F364" s="21"/>
      <c r="G364" s="21"/>
      <c r="H364" s="112" t="s">
        <v>192</v>
      </c>
      <c r="I364" s="112"/>
      <c r="J364" s="90" t="s">
        <v>426</v>
      </c>
      <c r="K364" s="90"/>
      <c r="L364" s="90"/>
      <c r="M364" s="90"/>
      <c r="N364" s="90"/>
      <c r="O364" s="104"/>
      <c r="P364" s="33"/>
      <c r="Q364" s="33"/>
    </row>
    <row r="365" spans="1:25" ht="17.25" customHeight="1" x14ac:dyDescent="0.25">
      <c r="B365" s="85"/>
      <c r="C365" s="85"/>
      <c r="D365" s="85"/>
      <c r="E365" s="85"/>
      <c r="F365" s="16"/>
      <c r="G365" s="16"/>
      <c r="H365" s="112" t="s">
        <v>192</v>
      </c>
      <c r="I365" s="112"/>
      <c r="J365" s="98">
        <f>((J318*0.75))+(J318*0.1)</f>
        <v>1827.2433000000003</v>
      </c>
      <c r="K365" s="21" t="s">
        <v>10</v>
      </c>
      <c r="L365" s="16"/>
      <c r="M365" s="16"/>
      <c r="N365" s="16"/>
      <c r="O365" s="16"/>
    </row>
    <row r="366" spans="1:25" ht="18" customHeight="1" x14ac:dyDescent="0.25">
      <c r="B366" s="112" t="s">
        <v>146</v>
      </c>
      <c r="C366" s="133"/>
      <c r="D366" s="133"/>
      <c r="E366" s="133"/>
      <c r="F366" s="16"/>
      <c r="G366" s="16"/>
      <c r="H366" s="112" t="s">
        <v>192</v>
      </c>
      <c r="I366" s="112"/>
      <c r="J366" s="90" t="s">
        <v>185</v>
      </c>
      <c r="K366" s="90"/>
      <c r="L366" s="90"/>
      <c r="M366" s="90"/>
      <c r="N366" s="90"/>
      <c r="O366" s="103"/>
    </row>
    <row r="367" spans="1:25" ht="18" customHeight="1" x14ac:dyDescent="0.25">
      <c r="B367" s="112"/>
      <c r="C367" s="133"/>
      <c r="D367" s="133"/>
      <c r="E367" s="133"/>
      <c r="F367" s="16"/>
      <c r="G367" s="16"/>
      <c r="H367" s="112" t="s">
        <v>192</v>
      </c>
      <c r="I367" s="112"/>
      <c r="J367" s="191" t="s">
        <v>427</v>
      </c>
      <c r="K367" s="141"/>
      <c r="L367" s="141"/>
      <c r="M367" s="141"/>
      <c r="N367" s="141"/>
      <c r="O367" s="103"/>
    </row>
    <row r="368" spans="1:25" ht="17.25" customHeight="1" x14ac:dyDescent="0.25">
      <c r="B368" s="133"/>
      <c r="C368" s="133"/>
      <c r="D368" s="133"/>
      <c r="E368" s="133"/>
      <c r="F368" s="16"/>
      <c r="G368" s="16"/>
      <c r="H368" s="112" t="s">
        <v>192</v>
      </c>
      <c r="I368" s="112"/>
      <c r="J368" s="98">
        <f>((0.15*J318)+J320)</f>
        <v>322.91199896257069</v>
      </c>
      <c r="K368" s="21" t="s">
        <v>10</v>
      </c>
      <c r="L368" s="16"/>
      <c r="M368" s="16"/>
    </row>
    <row r="369" spans="1:25" ht="17.25" customHeight="1" x14ac:dyDescent="0.25">
      <c r="B369" s="112" t="s">
        <v>138</v>
      </c>
      <c r="C369" s="133"/>
      <c r="D369" s="133"/>
      <c r="E369" s="133"/>
      <c r="F369" s="16"/>
      <c r="G369" s="16"/>
      <c r="H369" s="112" t="s">
        <v>192</v>
      </c>
      <c r="I369" s="112"/>
      <c r="J369" s="98" t="s">
        <v>428</v>
      </c>
      <c r="K369" s="21"/>
      <c r="L369" s="16"/>
      <c r="M369" s="16"/>
    </row>
    <row r="370" spans="1:25" s="14" customFormat="1" ht="17.25" customHeight="1" x14ac:dyDescent="0.25">
      <c r="A370" s="157"/>
      <c r="B370" s="21"/>
      <c r="C370" s="188"/>
      <c r="D370" s="188"/>
      <c r="E370" s="188"/>
      <c r="F370" s="21"/>
      <c r="G370" s="21"/>
      <c r="H370" s="112" t="s">
        <v>192</v>
      </c>
      <c r="I370" s="112"/>
      <c r="J370" s="98">
        <f>J368+J365</f>
        <v>2150.1552989625711</v>
      </c>
      <c r="K370" s="21" t="s">
        <v>10</v>
      </c>
      <c r="L370" s="21"/>
      <c r="M370" s="21"/>
      <c r="U370" s="44"/>
      <c r="W370" s="21"/>
      <c r="Y370" s="21"/>
    </row>
    <row r="371" spans="1:25" s="14" customFormat="1" ht="19.5" customHeight="1" x14ac:dyDescent="0.25">
      <c r="A371" s="157"/>
      <c r="B371" s="217" t="s">
        <v>304</v>
      </c>
      <c r="C371" s="217"/>
      <c r="D371" s="217"/>
      <c r="E371" s="217"/>
      <c r="F371" s="217"/>
      <c r="G371" s="21"/>
      <c r="H371" s="150" t="s">
        <v>192</v>
      </c>
      <c r="I371" s="150"/>
      <c r="J371" s="20">
        <f>J348</f>
        <v>0.54239558233253826</v>
      </c>
      <c r="U371" s="44"/>
      <c r="W371" s="21"/>
      <c r="Y371" s="21"/>
    </row>
    <row r="372" spans="1:25" s="14" customFormat="1" ht="15.75" customHeight="1" x14ac:dyDescent="0.25">
      <c r="A372" s="157"/>
      <c r="B372" s="22"/>
      <c r="C372" s="126"/>
      <c r="D372" s="126"/>
      <c r="E372" s="126"/>
      <c r="H372" s="22"/>
      <c r="I372" s="22"/>
      <c r="J372" s="20"/>
      <c r="U372" s="44"/>
      <c r="W372" s="21"/>
      <c r="Y372" s="21"/>
    </row>
    <row r="373" spans="1:25" s="48" customFormat="1" ht="21" customHeight="1" x14ac:dyDescent="0.25">
      <c r="A373" s="181">
        <v>2.6</v>
      </c>
      <c r="B373" s="213" t="s">
        <v>318</v>
      </c>
      <c r="C373" s="213"/>
      <c r="D373" s="213"/>
      <c r="E373" s="213"/>
      <c r="F373" s="213"/>
      <c r="G373" s="213"/>
      <c r="H373" s="213"/>
      <c r="I373" s="213"/>
      <c r="J373" s="213"/>
      <c r="K373" s="213"/>
      <c r="L373" s="213"/>
      <c r="M373" s="213"/>
      <c r="U373" s="182"/>
      <c r="W373" s="93"/>
      <c r="Y373" s="93"/>
    </row>
    <row r="374" spans="1:25" s="48" customFormat="1" ht="14.25" customHeight="1" x14ac:dyDescent="0.25">
      <c r="A374" s="181"/>
      <c r="B374" s="183"/>
      <c r="C374" s="183"/>
      <c r="D374" s="183"/>
      <c r="E374" s="183"/>
      <c r="F374" s="183"/>
      <c r="G374" s="183"/>
      <c r="H374" s="183"/>
      <c r="I374" s="183"/>
      <c r="J374" s="183"/>
      <c r="K374" s="183"/>
      <c r="L374" s="183"/>
      <c r="M374" s="183"/>
      <c r="U374" s="182"/>
      <c r="W374" s="93"/>
      <c r="Y374" s="93"/>
    </row>
    <row r="375" spans="1:25" s="14" customFormat="1" ht="18.75" customHeight="1" x14ac:dyDescent="0.25">
      <c r="A375" s="153" t="s">
        <v>197</v>
      </c>
      <c r="B375" s="37" t="s">
        <v>257</v>
      </c>
      <c r="C375" s="39"/>
      <c r="D375" s="39"/>
      <c r="E375" s="39"/>
      <c r="F375" s="39"/>
      <c r="G375" s="39"/>
      <c r="H375" s="146"/>
      <c r="I375" s="146"/>
      <c r="J375" s="39"/>
      <c r="U375" s="44"/>
      <c r="W375" s="21"/>
      <c r="Y375" s="21"/>
    </row>
    <row r="376" spans="1:25" ht="20.25" customHeight="1" x14ac:dyDescent="0.25">
      <c r="B376" s="16" t="s">
        <v>258</v>
      </c>
      <c r="C376" s="16"/>
      <c r="D376" s="16"/>
      <c r="E376" s="16"/>
      <c r="F376" s="16"/>
      <c r="G376" s="16"/>
      <c r="H376" s="147" t="s">
        <v>192</v>
      </c>
      <c r="I376" s="147"/>
      <c r="J376" s="205">
        <f>J351</f>
        <v>32272.154353920003</v>
      </c>
      <c r="K376" s="21" t="s">
        <v>10</v>
      </c>
      <c r="L376" s="16"/>
      <c r="M376" s="16"/>
    </row>
    <row r="377" spans="1:25" ht="18.75" x14ac:dyDescent="0.25">
      <c r="B377" s="16"/>
      <c r="C377" s="16"/>
      <c r="D377" s="16"/>
      <c r="E377" s="16"/>
      <c r="F377" s="16"/>
      <c r="G377" s="16"/>
      <c r="H377" s="147" t="s">
        <v>192</v>
      </c>
      <c r="I377" s="147"/>
      <c r="J377" s="192">
        <f>J352</f>
        <v>622.52424757281551</v>
      </c>
      <c r="K377" s="93" t="s">
        <v>54</v>
      </c>
      <c r="L377" s="16"/>
      <c r="M377" s="16"/>
    </row>
    <row r="378" spans="1:25" ht="19.5" customHeight="1" x14ac:dyDescent="0.25">
      <c r="B378" s="16" t="s">
        <v>357</v>
      </c>
      <c r="C378" s="16"/>
      <c r="D378" s="16"/>
      <c r="E378" s="16"/>
      <c r="F378" s="16"/>
      <c r="G378" s="16"/>
      <c r="H378" s="147" t="s">
        <v>192</v>
      </c>
      <c r="I378" s="147"/>
      <c r="J378" s="201">
        <v>4</v>
      </c>
      <c r="K378" s="121" t="s">
        <v>359</v>
      </c>
      <c r="L378" s="121"/>
      <c r="M378" s="16"/>
    </row>
    <row r="379" spans="1:25" ht="19.5" customHeight="1" x14ac:dyDescent="0.25">
      <c r="B379" s="16" t="s">
        <v>358</v>
      </c>
      <c r="C379" s="16"/>
      <c r="D379" s="16"/>
      <c r="E379" s="16"/>
      <c r="F379" s="16"/>
      <c r="G379" s="16"/>
      <c r="H379" s="147" t="s">
        <v>192</v>
      </c>
      <c r="I379" s="147"/>
      <c r="J379" s="192">
        <v>1.5</v>
      </c>
      <c r="K379" s="93"/>
      <c r="L379" s="16"/>
      <c r="M379" s="16"/>
    </row>
    <row r="380" spans="1:25" ht="18.75" customHeight="1" x14ac:dyDescent="0.25">
      <c r="B380" s="16" t="s">
        <v>360</v>
      </c>
      <c r="C380" s="16"/>
      <c r="D380" s="16"/>
      <c r="E380" s="16"/>
      <c r="F380" s="16"/>
      <c r="G380" s="16"/>
      <c r="H380" s="147" t="s">
        <v>192</v>
      </c>
      <c r="I380" s="147"/>
      <c r="J380" s="201">
        <f>J378*J379</f>
        <v>6</v>
      </c>
      <c r="K380" s="121" t="s">
        <v>359</v>
      </c>
      <c r="L380" s="121"/>
      <c r="M380" s="16"/>
    </row>
    <row r="381" spans="1:25" ht="20.25" customHeight="1" x14ac:dyDescent="0.25">
      <c r="B381" s="21" t="s">
        <v>259</v>
      </c>
      <c r="C381" s="16"/>
      <c r="D381" s="16"/>
      <c r="E381" s="16"/>
      <c r="F381" s="16"/>
      <c r="G381" s="16"/>
      <c r="H381" s="147" t="s">
        <v>192</v>
      </c>
      <c r="I381" s="147"/>
      <c r="J381" s="212" t="s">
        <v>429</v>
      </c>
      <c r="K381" s="212"/>
      <c r="L381" s="16"/>
      <c r="M381" s="16"/>
    </row>
    <row r="382" spans="1:25" ht="19.5" customHeight="1" x14ac:dyDescent="0.25">
      <c r="B382" s="16"/>
      <c r="C382" s="21"/>
      <c r="D382" s="21"/>
      <c r="E382" s="21"/>
      <c r="F382" s="21"/>
      <c r="G382" s="21"/>
      <c r="H382" s="147" t="s">
        <v>192</v>
      </c>
      <c r="I382" s="112"/>
      <c r="J382" s="98">
        <f>J380*(J376/1000)</f>
        <v>193.63292612352001</v>
      </c>
      <c r="K382" s="21" t="s">
        <v>10</v>
      </c>
      <c r="L382" s="21"/>
      <c r="M382" s="21"/>
    </row>
    <row r="383" spans="1:25" ht="18" customHeight="1" x14ac:dyDescent="0.25">
      <c r="B383" s="16" t="s">
        <v>228</v>
      </c>
      <c r="C383" s="21"/>
      <c r="D383" s="21"/>
      <c r="E383" s="21"/>
      <c r="F383" s="21"/>
      <c r="G383" s="21"/>
      <c r="H383" s="147" t="s">
        <v>192</v>
      </c>
      <c r="I383" s="112"/>
      <c r="J383" s="98" t="s">
        <v>430</v>
      </c>
      <c r="K383" s="21"/>
      <c r="L383" s="21"/>
      <c r="M383" s="21"/>
    </row>
    <row r="384" spans="1:25" ht="18.75" customHeight="1" x14ac:dyDescent="0.25">
      <c r="B384" s="16"/>
      <c r="C384" s="21"/>
      <c r="D384" s="21"/>
      <c r="E384" s="21"/>
      <c r="F384" s="21"/>
      <c r="G384" s="21"/>
      <c r="H384" s="147" t="s">
        <v>192</v>
      </c>
      <c r="I384" s="112"/>
      <c r="J384" s="98">
        <f>J376+J382</f>
        <v>32465.787280043522</v>
      </c>
      <c r="K384" s="21" t="s">
        <v>10</v>
      </c>
      <c r="L384" s="21"/>
      <c r="M384" s="21"/>
    </row>
    <row r="385" spans="1:25" ht="18.75" x14ac:dyDescent="0.35">
      <c r="B385" s="13" t="s">
        <v>172</v>
      </c>
      <c r="H385" s="30" t="s">
        <v>192</v>
      </c>
      <c r="J385" s="20">
        <f>J360</f>
        <v>11341.863653308823</v>
      </c>
      <c r="K385" s="14" t="s">
        <v>10</v>
      </c>
      <c r="L385" s="14"/>
      <c r="M385" s="14"/>
    </row>
    <row r="386" spans="1:25" ht="18" customHeight="1" x14ac:dyDescent="0.25">
      <c r="B386" s="14" t="s">
        <v>4</v>
      </c>
      <c r="C386" s="14"/>
      <c r="D386" s="14"/>
      <c r="E386" s="14"/>
      <c r="F386" s="14"/>
      <c r="G386" s="14"/>
      <c r="H386" s="30" t="s">
        <v>192</v>
      </c>
      <c r="I386" s="22"/>
      <c r="J386" s="20">
        <f>J362</f>
        <v>918.07999999999993</v>
      </c>
      <c r="K386" s="14" t="s">
        <v>10</v>
      </c>
      <c r="L386" s="14"/>
      <c r="M386" s="14"/>
    </row>
    <row r="387" spans="1:25" ht="18" customHeight="1" x14ac:dyDescent="0.25">
      <c r="B387" s="14" t="s">
        <v>170</v>
      </c>
      <c r="C387" s="14"/>
      <c r="D387" s="14"/>
      <c r="E387" s="14"/>
      <c r="F387" s="14"/>
      <c r="G387" s="14"/>
      <c r="H387" s="30" t="s">
        <v>192</v>
      </c>
      <c r="I387" s="22"/>
      <c r="J387" s="20">
        <f>J365</f>
        <v>1827.2433000000003</v>
      </c>
      <c r="K387" s="14" t="s">
        <v>10</v>
      </c>
      <c r="L387" s="14"/>
      <c r="M387" s="14"/>
    </row>
    <row r="388" spans="1:25" ht="18.75" x14ac:dyDescent="0.25">
      <c r="B388" s="14" t="s">
        <v>169</v>
      </c>
      <c r="C388" s="14"/>
      <c r="D388" s="14"/>
      <c r="E388" s="14"/>
      <c r="F388" s="14"/>
      <c r="G388" s="14"/>
      <c r="H388" s="30" t="s">
        <v>192</v>
      </c>
      <c r="I388" s="22"/>
      <c r="J388" s="20">
        <f>J368</f>
        <v>322.91199896257069</v>
      </c>
      <c r="K388" s="14" t="s">
        <v>10</v>
      </c>
      <c r="L388" s="14"/>
      <c r="M388" s="14"/>
    </row>
    <row r="389" spans="1:25" ht="17.25" customHeight="1" x14ac:dyDescent="0.25">
      <c r="B389" s="14" t="s">
        <v>173</v>
      </c>
      <c r="C389" s="14"/>
      <c r="D389" s="14"/>
      <c r="E389" s="14"/>
      <c r="F389" s="14"/>
      <c r="G389" s="14"/>
      <c r="H389" s="30" t="s">
        <v>192</v>
      </c>
      <c r="I389" s="22"/>
      <c r="J389" s="20">
        <f>J387+J388</f>
        <v>2150.1552989625711</v>
      </c>
      <c r="K389" s="14" t="s">
        <v>10</v>
      </c>
    </row>
    <row r="390" spans="1:25" ht="33" customHeight="1" x14ac:dyDescent="0.25">
      <c r="B390" s="218" t="s">
        <v>319</v>
      </c>
      <c r="C390" s="218"/>
      <c r="D390" s="218"/>
      <c r="E390" s="218"/>
      <c r="F390" s="218"/>
      <c r="G390" s="127"/>
      <c r="H390" s="105" t="s">
        <v>192</v>
      </c>
      <c r="I390" s="149"/>
      <c r="J390" s="99">
        <f>J348</f>
        <v>0.54239558233253826</v>
      </c>
      <c r="K390" s="217" t="s">
        <v>261</v>
      </c>
      <c r="L390" s="217"/>
      <c r="M390" s="217"/>
      <c r="N390" s="101"/>
    </row>
    <row r="391" spans="1:25" ht="13.5" customHeight="1" x14ac:dyDescent="0.25">
      <c r="J391" s="15"/>
    </row>
    <row r="392" spans="1:25" ht="21.75" customHeight="1" x14ac:dyDescent="0.25">
      <c r="A392" s="157" t="s">
        <v>197</v>
      </c>
      <c r="B392" s="63" t="s">
        <v>260</v>
      </c>
    </row>
    <row r="393" spans="1:25" s="14" customFormat="1" ht="20.25" customHeight="1" x14ac:dyDescent="0.25">
      <c r="A393" s="157"/>
      <c r="B393" s="14" t="s">
        <v>166</v>
      </c>
      <c r="H393" s="22" t="s">
        <v>192</v>
      </c>
      <c r="I393" s="22"/>
      <c r="J393" s="122">
        <v>0.95</v>
      </c>
      <c r="U393" s="44"/>
      <c r="W393" s="21"/>
      <c r="Y393" s="21"/>
    </row>
    <row r="394" spans="1:25" s="14" customFormat="1" ht="19.5" customHeight="1" x14ac:dyDescent="0.25">
      <c r="A394" s="157"/>
      <c r="B394" s="14" t="s">
        <v>262</v>
      </c>
      <c r="H394" s="22" t="s">
        <v>192</v>
      </c>
      <c r="I394" s="22"/>
      <c r="J394" s="122">
        <v>0.8</v>
      </c>
      <c r="U394" s="44"/>
      <c r="W394" s="21"/>
      <c r="Y394" s="21"/>
    </row>
    <row r="395" spans="1:25" s="14" customFormat="1" ht="18" customHeight="1" x14ac:dyDescent="0.25">
      <c r="A395" s="157"/>
      <c r="B395" s="14" t="s">
        <v>263</v>
      </c>
      <c r="H395" s="22" t="s">
        <v>192</v>
      </c>
      <c r="I395" s="22"/>
      <c r="J395" s="20" t="s">
        <v>431</v>
      </c>
      <c r="U395" s="44"/>
      <c r="W395" s="21"/>
      <c r="Y395" s="21"/>
    </row>
    <row r="396" spans="1:25" s="14" customFormat="1" ht="18" customHeight="1" x14ac:dyDescent="0.25">
      <c r="A396" s="157"/>
      <c r="H396" s="22" t="s">
        <v>192</v>
      </c>
      <c r="I396" s="22"/>
      <c r="J396" s="20">
        <f>(0.95*J376)+(0.8*J382)</f>
        <v>30813.452977122815</v>
      </c>
      <c r="K396" s="14" t="s">
        <v>10</v>
      </c>
      <c r="U396" s="44"/>
      <c r="W396" s="21"/>
      <c r="Y396" s="21"/>
    </row>
    <row r="397" spans="1:25" s="14" customFormat="1" ht="17.25" customHeight="1" x14ac:dyDescent="0.25">
      <c r="A397" s="157"/>
      <c r="B397" s="13" t="s">
        <v>224</v>
      </c>
      <c r="C397" s="13"/>
      <c r="D397" s="13"/>
      <c r="E397" s="13"/>
      <c r="F397" s="13"/>
      <c r="G397" s="13"/>
      <c r="H397" s="22" t="s">
        <v>192</v>
      </c>
      <c r="I397" s="30"/>
      <c r="J397" s="16">
        <v>1.06</v>
      </c>
      <c r="K397" s="13"/>
      <c r="L397" s="13"/>
      <c r="M397" s="13"/>
      <c r="U397" s="44"/>
      <c r="W397" s="21"/>
      <c r="Y397" s="21"/>
    </row>
    <row r="398" spans="1:25" s="14" customFormat="1" ht="19.5" customHeight="1" x14ac:dyDescent="0.25">
      <c r="A398" s="157"/>
      <c r="B398" s="13" t="s">
        <v>225</v>
      </c>
      <c r="C398" s="13"/>
      <c r="D398" s="13"/>
      <c r="E398" s="13"/>
      <c r="F398" s="13"/>
      <c r="G398" s="13"/>
      <c r="H398" s="22" t="s">
        <v>192</v>
      </c>
      <c r="I398" s="30"/>
      <c r="J398" s="16">
        <v>25</v>
      </c>
      <c r="K398" s="13" t="s">
        <v>47</v>
      </c>
      <c r="L398" s="13"/>
      <c r="M398" s="13"/>
      <c r="U398" s="44"/>
      <c r="W398" s="21"/>
      <c r="Y398" s="21"/>
    </row>
    <row r="399" spans="1:25" ht="18.75" customHeight="1" x14ac:dyDescent="0.25">
      <c r="B399" s="13" t="s">
        <v>264</v>
      </c>
      <c r="H399" s="22" t="s">
        <v>192</v>
      </c>
      <c r="J399" s="15">
        <f>J396/(10*J398*J397)</f>
        <v>116.27718104574647</v>
      </c>
      <c r="K399" s="13" t="s">
        <v>54</v>
      </c>
    </row>
    <row r="400" spans="1:25" s="14" customFormat="1" ht="18.75" x14ac:dyDescent="0.25">
      <c r="A400" s="157"/>
      <c r="B400" s="14" t="s">
        <v>172</v>
      </c>
      <c r="H400" s="22" t="s">
        <v>192</v>
      </c>
      <c r="I400" s="22"/>
      <c r="J400" s="22" t="s">
        <v>158</v>
      </c>
      <c r="U400" s="44"/>
      <c r="W400" s="21"/>
      <c r="Y400" s="21"/>
    </row>
    <row r="401" spans="1:25" s="14" customFormat="1" ht="18.75" customHeight="1" x14ac:dyDescent="0.25">
      <c r="A401" s="157"/>
      <c r="H401" s="22" t="s">
        <v>192</v>
      </c>
      <c r="I401" s="22"/>
      <c r="J401" s="22" t="s">
        <v>432</v>
      </c>
      <c r="U401" s="44"/>
      <c r="W401" s="21"/>
      <c r="Y401" s="21"/>
    </row>
    <row r="402" spans="1:25" s="14" customFormat="1" ht="18" customHeight="1" x14ac:dyDescent="0.25">
      <c r="A402" s="157"/>
      <c r="H402" s="22" t="s">
        <v>192</v>
      </c>
      <c r="I402" s="22"/>
      <c r="J402" s="20">
        <f>J385*0.95</f>
        <v>10774.770470643381</v>
      </c>
      <c r="K402" s="14" t="s">
        <v>10</v>
      </c>
      <c r="U402" s="44"/>
      <c r="W402" s="21"/>
      <c r="Y402" s="21"/>
    </row>
    <row r="403" spans="1:25" s="14" customFormat="1" ht="19.5" customHeight="1" x14ac:dyDescent="0.25">
      <c r="A403" s="157"/>
      <c r="B403" s="14" t="s">
        <v>33</v>
      </c>
      <c r="H403" s="22" t="s">
        <v>192</v>
      </c>
      <c r="I403" s="22"/>
      <c r="J403" s="22" t="s">
        <v>159</v>
      </c>
      <c r="U403" s="44"/>
      <c r="W403" s="21"/>
      <c r="Y403" s="21"/>
    </row>
    <row r="404" spans="1:25" s="14" customFormat="1" ht="17.25" customHeight="1" x14ac:dyDescent="0.25">
      <c r="A404" s="157"/>
      <c r="H404" s="22" t="s">
        <v>192</v>
      </c>
      <c r="I404" s="22"/>
      <c r="J404" s="22" t="s">
        <v>433</v>
      </c>
      <c r="U404" s="44"/>
      <c r="W404" s="21"/>
      <c r="Y404" s="21"/>
    </row>
    <row r="405" spans="1:25" s="14" customFormat="1" ht="18" customHeight="1" x14ac:dyDescent="0.25">
      <c r="A405" s="157"/>
      <c r="H405" s="22" t="s">
        <v>192</v>
      </c>
      <c r="I405" s="22"/>
      <c r="J405" s="20">
        <f>J362*0.95</f>
        <v>872.17599999999993</v>
      </c>
      <c r="K405" s="14" t="s">
        <v>10</v>
      </c>
      <c r="U405" s="44"/>
      <c r="W405" s="21"/>
      <c r="Y405" s="21"/>
    </row>
    <row r="406" spans="1:25" s="14" customFormat="1" ht="19.5" customHeight="1" x14ac:dyDescent="0.25">
      <c r="A406" s="157"/>
      <c r="B406" s="14" t="s">
        <v>170</v>
      </c>
      <c r="H406" s="22" t="s">
        <v>192</v>
      </c>
      <c r="I406" s="22"/>
      <c r="J406" s="22" t="s">
        <v>160</v>
      </c>
      <c r="U406" s="44"/>
      <c r="W406" s="21"/>
      <c r="Y406" s="21"/>
    </row>
    <row r="407" spans="1:25" s="14" customFormat="1" ht="17.25" customHeight="1" x14ac:dyDescent="0.25">
      <c r="A407" s="157"/>
      <c r="H407" s="22" t="s">
        <v>192</v>
      </c>
      <c r="I407" s="22"/>
      <c r="J407" s="22" t="s">
        <v>434</v>
      </c>
      <c r="U407" s="44"/>
      <c r="W407" s="21"/>
      <c r="Y407" s="21"/>
    </row>
    <row r="408" spans="1:25" s="14" customFormat="1" ht="18.75" customHeight="1" x14ac:dyDescent="0.25">
      <c r="A408" s="157"/>
      <c r="H408" s="22" t="s">
        <v>192</v>
      </c>
      <c r="I408" s="22"/>
      <c r="J408" s="20">
        <f>0.95*J365</f>
        <v>1735.8811350000003</v>
      </c>
      <c r="K408" s="14" t="s">
        <v>10</v>
      </c>
      <c r="U408" s="44"/>
      <c r="W408" s="21"/>
      <c r="Y408" s="21"/>
    </row>
    <row r="409" spans="1:25" s="14" customFormat="1" ht="18" customHeight="1" x14ac:dyDescent="0.25">
      <c r="A409" s="157"/>
      <c r="B409" s="21" t="s">
        <v>145</v>
      </c>
      <c r="C409" s="21"/>
      <c r="D409" s="21"/>
      <c r="E409" s="21"/>
      <c r="F409" s="21"/>
      <c r="G409" s="21"/>
      <c r="H409" s="112" t="s">
        <v>192</v>
      </c>
      <c r="I409" s="112"/>
      <c r="J409" s="90" t="s">
        <v>186</v>
      </c>
      <c r="K409" s="90"/>
      <c r="L409" s="90"/>
      <c r="M409" s="90"/>
      <c r="N409" s="90"/>
      <c r="O409" s="33"/>
      <c r="P409" s="33"/>
      <c r="Q409" s="33"/>
      <c r="U409" s="44"/>
      <c r="W409" s="21"/>
      <c r="Y409" s="21"/>
    </row>
    <row r="410" spans="1:25" s="14" customFormat="1" ht="18" customHeight="1" x14ac:dyDescent="0.25">
      <c r="A410" s="157"/>
      <c r="B410" s="21"/>
      <c r="C410" s="21"/>
      <c r="D410" s="21"/>
      <c r="E410" s="21"/>
      <c r="F410" s="21"/>
      <c r="G410" s="21"/>
      <c r="H410" s="112" t="s">
        <v>192</v>
      </c>
      <c r="I410" s="112"/>
      <c r="J410" s="191" t="s">
        <v>435</v>
      </c>
      <c r="K410" s="141"/>
      <c r="L410" s="141"/>
      <c r="M410" s="141"/>
      <c r="N410" s="141"/>
      <c r="O410" s="33"/>
      <c r="P410" s="33"/>
      <c r="Q410" s="33"/>
      <c r="U410" s="44"/>
      <c r="W410" s="21"/>
      <c r="Y410" s="21"/>
    </row>
    <row r="411" spans="1:25" s="14" customFormat="1" ht="18" customHeight="1" x14ac:dyDescent="0.25">
      <c r="A411" s="157"/>
      <c r="B411" s="21"/>
      <c r="C411" s="21"/>
      <c r="D411" s="21"/>
      <c r="E411" s="21"/>
      <c r="F411" s="21"/>
      <c r="G411" s="21"/>
      <c r="H411" s="112" t="s">
        <v>192</v>
      </c>
      <c r="I411" s="112"/>
      <c r="J411" s="98">
        <f>(J368*(J399/J377))</f>
        <v>60.314593546531526</v>
      </c>
      <c r="K411" s="21" t="s">
        <v>10</v>
      </c>
      <c r="L411" s="21"/>
      <c r="M411" s="21"/>
      <c r="U411" s="44"/>
      <c r="W411" s="21"/>
      <c r="Y411" s="21"/>
    </row>
    <row r="412" spans="1:25" s="14" customFormat="1" ht="18" customHeight="1" x14ac:dyDescent="0.25">
      <c r="A412" s="157"/>
      <c r="B412" s="21" t="s">
        <v>5</v>
      </c>
      <c r="C412" s="21"/>
      <c r="D412" s="21"/>
      <c r="E412" s="21"/>
      <c r="F412" s="21"/>
      <c r="G412" s="21"/>
      <c r="H412" s="112" t="s">
        <v>192</v>
      </c>
      <c r="I412" s="112"/>
      <c r="J412" s="98" t="s">
        <v>376</v>
      </c>
      <c r="K412" s="21"/>
      <c r="L412" s="21"/>
      <c r="M412" s="21"/>
      <c r="U412" s="44"/>
      <c r="W412" s="21"/>
      <c r="Y412" s="21"/>
    </row>
    <row r="413" spans="1:25" s="14" customFormat="1" ht="18" customHeight="1" x14ac:dyDescent="0.25">
      <c r="A413" s="157"/>
      <c r="B413" s="21"/>
      <c r="C413" s="21"/>
      <c r="D413" s="21"/>
      <c r="E413" s="21"/>
      <c r="F413" s="21"/>
      <c r="G413" s="21"/>
      <c r="H413" s="112" t="s">
        <v>192</v>
      </c>
      <c r="I413" s="112"/>
      <c r="J413" s="98" t="s">
        <v>436</v>
      </c>
      <c r="K413" s="21"/>
      <c r="L413" s="21"/>
      <c r="M413" s="21"/>
      <c r="U413" s="44"/>
      <c r="W413" s="21"/>
      <c r="Y413" s="21"/>
    </row>
    <row r="414" spans="1:25" s="14" customFormat="1" ht="18" customHeight="1" x14ac:dyDescent="0.25">
      <c r="A414" s="157"/>
      <c r="B414" s="21"/>
      <c r="C414" s="21"/>
      <c r="D414" s="21"/>
      <c r="E414" s="21"/>
      <c r="F414" s="21"/>
      <c r="G414" s="21"/>
      <c r="H414" s="112" t="s">
        <v>192</v>
      </c>
      <c r="I414" s="112"/>
      <c r="J414" s="98">
        <f>J408+J411</f>
        <v>1796.1957285465319</v>
      </c>
      <c r="K414" s="21" t="s">
        <v>10</v>
      </c>
      <c r="L414" s="21"/>
      <c r="M414" s="21"/>
      <c r="U414" s="44"/>
      <c r="W414" s="21"/>
      <c r="Y414" s="21"/>
    </row>
    <row r="415" spans="1:25" ht="16.5" customHeight="1" x14ac:dyDescent="0.25">
      <c r="B415" s="217" t="s">
        <v>304</v>
      </c>
      <c r="C415" s="217"/>
      <c r="D415" s="217"/>
      <c r="E415" s="217"/>
      <c r="F415" s="217"/>
      <c r="G415" s="197"/>
      <c r="H415" s="150" t="s">
        <v>192</v>
      </c>
      <c r="I415" s="150"/>
      <c r="J415" s="99">
        <f>J390</f>
        <v>0.54239558233253826</v>
      </c>
      <c r="K415" s="101"/>
      <c r="L415" s="101"/>
      <c r="M415" s="101"/>
      <c r="N415" s="101"/>
    </row>
    <row r="416" spans="1:25" ht="16.5" customHeight="1" x14ac:dyDescent="0.25">
      <c r="B416" s="179"/>
      <c r="C416" s="179"/>
      <c r="D416" s="179"/>
      <c r="E416" s="179"/>
      <c r="F416" s="179"/>
      <c r="G416" s="179"/>
      <c r="H416" s="105"/>
      <c r="I416" s="105"/>
      <c r="J416" s="99"/>
      <c r="K416" s="101"/>
      <c r="L416" s="101"/>
      <c r="M416" s="101"/>
      <c r="N416" s="101"/>
    </row>
    <row r="417" spans="1:25" s="14" customFormat="1" ht="21.75" customHeight="1" x14ac:dyDescent="0.25">
      <c r="A417" s="157" t="s">
        <v>197</v>
      </c>
      <c r="B417" s="37" t="s">
        <v>265</v>
      </c>
      <c r="H417" s="22"/>
      <c r="I417" s="22"/>
      <c r="J417" s="118"/>
      <c r="U417" s="44"/>
      <c r="W417" s="21"/>
      <c r="Y417" s="21"/>
    </row>
    <row r="418" spans="1:25" s="14" customFormat="1" ht="21" customHeight="1" x14ac:dyDescent="0.25">
      <c r="A418" s="157"/>
      <c r="B418" s="14" t="s">
        <v>153</v>
      </c>
      <c r="H418" s="22" t="s">
        <v>192</v>
      </c>
      <c r="I418" s="22"/>
      <c r="J418" s="118">
        <v>13.6</v>
      </c>
      <c r="K418" s="14" t="s">
        <v>324</v>
      </c>
      <c r="U418" s="44"/>
      <c r="W418" s="21"/>
      <c r="Y418" s="21"/>
    </row>
    <row r="419" spans="1:25" s="14" customFormat="1" ht="18" customHeight="1" x14ac:dyDescent="0.25">
      <c r="A419" s="157"/>
      <c r="H419" s="22" t="s">
        <v>192</v>
      </c>
      <c r="I419" s="22"/>
      <c r="J419" s="118" t="s">
        <v>437</v>
      </c>
      <c r="U419" s="44"/>
      <c r="W419" s="21"/>
      <c r="Y419" s="21"/>
    </row>
    <row r="420" spans="1:25" s="14" customFormat="1" ht="17.25" customHeight="1" x14ac:dyDescent="0.25">
      <c r="A420" s="157"/>
      <c r="H420" s="22" t="s">
        <v>192</v>
      </c>
      <c r="I420" s="22"/>
      <c r="J420" s="118">
        <f>J418*J376</f>
        <v>438901.29921331204</v>
      </c>
      <c r="K420" s="14" t="s">
        <v>266</v>
      </c>
      <c r="U420" s="44"/>
      <c r="W420" s="21"/>
      <c r="Y420" s="21"/>
    </row>
    <row r="421" spans="1:25" ht="18.75" x14ac:dyDescent="0.25">
      <c r="H421" s="22" t="s">
        <v>192</v>
      </c>
      <c r="I421" s="22"/>
      <c r="J421" s="15">
        <f>(13.6/1000)*J376</f>
        <v>438.90129921331203</v>
      </c>
      <c r="K421" s="13" t="s">
        <v>54</v>
      </c>
    </row>
    <row r="422" spans="1:25" ht="18.75" x14ac:dyDescent="0.25">
      <c r="B422" s="13" t="s">
        <v>267</v>
      </c>
      <c r="H422" s="22" t="s">
        <v>192</v>
      </c>
      <c r="I422" s="22"/>
      <c r="J422" s="18">
        <v>440</v>
      </c>
      <c r="K422" s="13" t="s">
        <v>54</v>
      </c>
    </row>
    <row r="423" spans="1:25" ht="18.75" customHeight="1" x14ac:dyDescent="0.25">
      <c r="H423" s="22" t="s">
        <v>192</v>
      </c>
      <c r="I423" s="22"/>
      <c r="J423" s="193">
        <f>J422/1000</f>
        <v>0.44</v>
      </c>
      <c r="K423" s="13" t="s">
        <v>20</v>
      </c>
    </row>
    <row r="424" spans="1:25" ht="18.75" customHeight="1" x14ac:dyDescent="0.25">
      <c r="B424" s="14" t="s">
        <v>269</v>
      </c>
      <c r="C424" s="14"/>
      <c r="D424" s="14"/>
      <c r="E424" s="14"/>
      <c r="F424" s="14"/>
      <c r="G424" s="14"/>
      <c r="H424" s="22" t="s">
        <v>192</v>
      </c>
      <c r="I424" s="22"/>
      <c r="J424" s="119">
        <v>10</v>
      </c>
      <c r="K424" s="14" t="s">
        <v>18</v>
      </c>
    </row>
    <row r="425" spans="1:25" ht="19.5" customHeight="1" x14ac:dyDescent="0.25">
      <c r="B425" s="14" t="s">
        <v>270</v>
      </c>
      <c r="C425" s="14"/>
      <c r="D425" s="14"/>
      <c r="E425" s="14"/>
      <c r="F425" s="14"/>
      <c r="G425" s="14"/>
      <c r="H425" s="22" t="s">
        <v>192</v>
      </c>
      <c r="I425" s="22"/>
      <c r="J425" s="18" t="s">
        <v>438</v>
      </c>
      <c r="K425" s="14"/>
    </row>
    <row r="426" spans="1:25" ht="18.75" customHeight="1" x14ac:dyDescent="0.25">
      <c r="B426" s="14"/>
      <c r="C426" s="14"/>
      <c r="D426" s="14"/>
      <c r="E426" s="14"/>
      <c r="F426" s="14"/>
      <c r="G426" s="14"/>
      <c r="H426" s="22" t="s">
        <v>192</v>
      </c>
      <c r="I426" s="22"/>
      <c r="J426" s="20">
        <f>(10)*J422/1000</f>
        <v>4.4000000000000004</v>
      </c>
      <c r="K426" s="14" t="s">
        <v>10</v>
      </c>
    </row>
    <row r="427" spans="1:25" ht="18.75" x14ac:dyDescent="0.25">
      <c r="B427" s="14" t="s">
        <v>268</v>
      </c>
      <c r="H427" s="22" t="s">
        <v>192</v>
      </c>
      <c r="I427" s="22"/>
      <c r="J427" s="18">
        <v>10</v>
      </c>
      <c r="K427" s="13" t="s">
        <v>18</v>
      </c>
    </row>
    <row r="428" spans="1:25" ht="18.75" x14ac:dyDescent="0.25">
      <c r="B428" s="14" t="s">
        <v>380</v>
      </c>
      <c r="H428" s="22" t="s">
        <v>192</v>
      </c>
      <c r="I428" s="22"/>
      <c r="J428" s="18" t="s">
        <v>438</v>
      </c>
    </row>
    <row r="429" spans="1:25" s="14" customFormat="1" ht="18.75" customHeight="1" x14ac:dyDescent="0.25">
      <c r="A429" s="157"/>
      <c r="H429" s="22" t="s">
        <v>192</v>
      </c>
      <c r="I429" s="22"/>
      <c r="J429" s="20">
        <f>(10)*J422/1000</f>
        <v>4.4000000000000004</v>
      </c>
      <c r="K429" s="14" t="s">
        <v>10</v>
      </c>
      <c r="U429" s="44"/>
      <c r="W429" s="21"/>
      <c r="Y429" s="21"/>
    </row>
    <row r="430" spans="1:25" s="14" customFormat="1" ht="18.75" customHeight="1" x14ac:dyDescent="0.25">
      <c r="A430" s="157"/>
      <c r="B430" s="14" t="s">
        <v>271</v>
      </c>
      <c r="H430" s="22" t="s">
        <v>192</v>
      </c>
      <c r="I430" s="22"/>
      <c r="J430" s="118">
        <v>1</v>
      </c>
      <c r="K430" s="14" t="s">
        <v>18</v>
      </c>
      <c r="U430" s="44"/>
      <c r="W430" s="21"/>
      <c r="Y430" s="21"/>
    </row>
    <row r="431" spans="1:25" s="14" customFormat="1" ht="18" customHeight="1" x14ac:dyDescent="0.25">
      <c r="A431" s="157"/>
      <c r="B431" s="14" t="s">
        <v>272</v>
      </c>
      <c r="H431" s="22" t="s">
        <v>192</v>
      </c>
      <c r="I431" s="22"/>
      <c r="J431" s="18" t="s">
        <v>439</v>
      </c>
      <c r="U431" s="44"/>
      <c r="W431" s="21"/>
      <c r="Y431" s="21"/>
    </row>
    <row r="432" spans="1:25" s="14" customFormat="1" ht="17.25" customHeight="1" x14ac:dyDescent="0.25">
      <c r="A432" s="157"/>
      <c r="H432" s="22" t="s">
        <v>192</v>
      </c>
      <c r="I432" s="22"/>
      <c r="J432" s="123">
        <f>(1)*J422/1000</f>
        <v>0.44</v>
      </c>
      <c r="K432" s="14" t="s">
        <v>10</v>
      </c>
      <c r="U432" s="44"/>
      <c r="W432" s="21"/>
      <c r="Y432" s="21"/>
    </row>
    <row r="433" spans="1:25" s="14" customFormat="1" ht="18.75" customHeight="1" x14ac:dyDescent="0.25">
      <c r="A433" s="157"/>
      <c r="B433" s="14" t="s">
        <v>273</v>
      </c>
      <c r="H433" s="22" t="s">
        <v>192</v>
      </c>
      <c r="I433" s="22"/>
      <c r="J433" s="118">
        <v>2</v>
      </c>
      <c r="K433" s="14" t="s">
        <v>18</v>
      </c>
      <c r="U433" s="44"/>
      <c r="W433" s="21"/>
      <c r="Y433" s="21"/>
    </row>
    <row r="434" spans="1:25" s="14" customFormat="1" ht="20.25" customHeight="1" x14ac:dyDescent="0.25">
      <c r="A434" s="157"/>
      <c r="B434" s="14" t="s">
        <v>379</v>
      </c>
      <c r="H434" s="22" t="s">
        <v>192</v>
      </c>
      <c r="I434" s="22"/>
      <c r="J434" s="18" t="s">
        <v>440</v>
      </c>
      <c r="U434" s="44"/>
      <c r="W434" s="21"/>
      <c r="Y434" s="21"/>
    </row>
    <row r="435" spans="1:25" s="14" customFormat="1" ht="17.25" customHeight="1" x14ac:dyDescent="0.25">
      <c r="A435" s="157"/>
      <c r="H435" s="22" t="s">
        <v>192</v>
      </c>
      <c r="I435" s="22"/>
      <c r="J435" s="123">
        <f>(2)*J422/1000</f>
        <v>0.88</v>
      </c>
      <c r="K435" s="14" t="s">
        <v>10</v>
      </c>
      <c r="U435" s="44"/>
      <c r="W435" s="21"/>
      <c r="Y435" s="21"/>
    </row>
    <row r="436" spans="1:25" s="14" customFormat="1" ht="18.75" x14ac:dyDescent="0.25">
      <c r="A436" s="157"/>
      <c r="B436" s="14" t="s">
        <v>275</v>
      </c>
      <c r="H436" s="22" t="s">
        <v>192</v>
      </c>
      <c r="I436" s="22"/>
      <c r="J436" s="119">
        <v>1</v>
      </c>
      <c r="K436" s="14" t="s">
        <v>18</v>
      </c>
      <c r="U436" s="44"/>
      <c r="W436" s="21"/>
      <c r="Y436" s="21"/>
    </row>
    <row r="437" spans="1:25" s="14" customFormat="1" ht="18.75" x14ac:dyDescent="0.25">
      <c r="A437" s="157"/>
      <c r="B437" s="14" t="s">
        <v>274</v>
      </c>
      <c r="H437" s="22" t="s">
        <v>192</v>
      </c>
      <c r="I437" s="22"/>
      <c r="J437" s="18" t="s">
        <v>441</v>
      </c>
      <c r="U437" s="44"/>
      <c r="W437" s="21"/>
      <c r="Y437" s="21"/>
    </row>
    <row r="438" spans="1:25" ht="18" customHeight="1" x14ac:dyDescent="0.25">
      <c r="C438" s="14"/>
      <c r="D438" s="14"/>
      <c r="E438" s="14"/>
      <c r="F438" s="14"/>
      <c r="G438" s="14"/>
      <c r="H438" s="22" t="s">
        <v>192</v>
      </c>
      <c r="I438" s="22"/>
      <c r="J438" s="123">
        <f>(1)*J422/1000</f>
        <v>0.44</v>
      </c>
      <c r="K438" s="14" t="s">
        <v>10</v>
      </c>
    </row>
    <row r="439" spans="1:25" ht="18.75" x14ac:dyDescent="0.25">
      <c r="B439" s="13" t="s">
        <v>5</v>
      </c>
      <c r="C439" s="14"/>
      <c r="D439" s="14"/>
      <c r="E439" s="14"/>
      <c r="F439" s="14"/>
      <c r="G439" s="14"/>
      <c r="H439" s="22" t="s">
        <v>192</v>
      </c>
      <c r="I439" s="22"/>
      <c r="J439" s="20" t="s">
        <v>375</v>
      </c>
      <c r="K439" s="14"/>
    </row>
    <row r="440" spans="1:25" x14ac:dyDescent="0.25">
      <c r="H440" s="22" t="s">
        <v>192</v>
      </c>
      <c r="I440" s="22"/>
      <c r="J440" s="15">
        <f>J435+J438</f>
        <v>1.32</v>
      </c>
      <c r="K440" s="14" t="s">
        <v>10</v>
      </c>
    </row>
    <row r="441" spans="1:25" ht="16.5" customHeight="1" x14ac:dyDescent="0.25">
      <c r="J441" s="17"/>
    </row>
    <row r="442" spans="1:25" s="14" customFormat="1" ht="18.75" customHeight="1" x14ac:dyDescent="0.25">
      <c r="A442" s="157" t="s">
        <v>197</v>
      </c>
      <c r="B442" s="37" t="s">
        <v>276</v>
      </c>
      <c r="H442" s="22"/>
      <c r="I442" s="22"/>
      <c r="U442" s="44"/>
      <c r="W442" s="21"/>
      <c r="Y442" s="21"/>
    </row>
    <row r="443" spans="1:25" ht="20.25" customHeight="1" x14ac:dyDescent="0.25">
      <c r="B443" s="14" t="s">
        <v>277</v>
      </c>
      <c r="C443" s="14"/>
      <c r="D443" s="14"/>
      <c r="E443" s="14"/>
      <c r="F443" s="14"/>
      <c r="G443" s="14"/>
      <c r="H443" s="169" t="s">
        <v>192</v>
      </c>
      <c r="I443" s="22"/>
      <c r="J443" s="119" t="s">
        <v>278</v>
      </c>
      <c r="K443" s="119"/>
      <c r="L443" s="119"/>
      <c r="M443" s="119"/>
      <c r="N443" s="119"/>
      <c r="O443" s="33"/>
      <c r="P443" s="33"/>
      <c r="Q443" s="33"/>
    </row>
    <row r="444" spans="1:25" ht="18.75" customHeight="1" x14ac:dyDescent="0.25">
      <c r="B444" s="21" t="s">
        <v>227</v>
      </c>
      <c r="C444" s="21"/>
      <c r="D444" s="21"/>
      <c r="E444" s="21"/>
      <c r="F444" s="21"/>
      <c r="G444" s="21"/>
      <c r="H444" s="194" t="s">
        <v>192</v>
      </c>
      <c r="I444" s="112"/>
      <c r="J444" s="191" t="s">
        <v>442</v>
      </c>
      <c r="K444" s="141"/>
      <c r="L444" s="141"/>
      <c r="M444" s="141"/>
      <c r="N444" s="29"/>
      <c r="O444" s="33"/>
      <c r="P444" s="33"/>
      <c r="Q444" s="33"/>
    </row>
    <row r="445" spans="1:25" ht="21" customHeight="1" x14ac:dyDescent="0.25">
      <c r="B445" s="21"/>
      <c r="C445" s="21"/>
      <c r="D445" s="21"/>
      <c r="E445" s="21"/>
      <c r="F445" s="16"/>
      <c r="G445" s="16"/>
      <c r="H445" s="195" t="s">
        <v>192</v>
      </c>
      <c r="I445" s="147"/>
      <c r="J445" s="92">
        <f>J377+J422-J399</f>
        <v>946.24706652706902</v>
      </c>
      <c r="K445" s="220" t="s">
        <v>54</v>
      </c>
      <c r="L445" s="220"/>
      <c r="M445" s="91"/>
      <c r="N445" s="29"/>
      <c r="O445" s="29"/>
      <c r="P445" s="29"/>
    </row>
    <row r="446" spans="1:25" ht="21" customHeight="1" x14ac:dyDescent="0.25">
      <c r="B446" s="21" t="s">
        <v>2</v>
      </c>
      <c r="C446" s="21"/>
      <c r="D446" s="21"/>
      <c r="E446" s="21"/>
      <c r="F446" s="16"/>
      <c r="G446" s="16"/>
      <c r="H446" s="195" t="s">
        <v>192</v>
      </c>
      <c r="I446" s="147"/>
      <c r="J446" s="149" t="s">
        <v>443</v>
      </c>
      <c r="K446" s="91"/>
      <c r="L446" s="91"/>
      <c r="M446" s="91"/>
      <c r="N446" s="29"/>
      <c r="O446" s="29"/>
      <c r="P446" s="29"/>
    </row>
    <row r="447" spans="1:25" s="21" customFormat="1" ht="18" customHeight="1" x14ac:dyDescent="0.25">
      <c r="A447" s="190"/>
      <c r="H447" s="195" t="s">
        <v>192</v>
      </c>
      <c r="I447" s="112"/>
      <c r="J447" s="98">
        <f>J384+J426-J396</f>
        <v>1656.7343029207077</v>
      </c>
      <c r="K447" s="21" t="s">
        <v>10</v>
      </c>
      <c r="U447" s="44"/>
    </row>
    <row r="448" spans="1:25" s="14" customFormat="1" ht="18.75" x14ac:dyDescent="0.25">
      <c r="A448" s="157"/>
      <c r="B448" s="21" t="s">
        <v>64</v>
      </c>
      <c r="C448" s="21"/>
      <c r="D448" s="21"/>
      <c r="E448" s="21"/>
      <c r="F448" s="21"/>
      <c r="G448" s="21"/>
      <c r="H448" s="168" t="s">
        <v>192</v>
      </c>
      <c r="I448" s="112"/>
      <c r="J448" s="98" t="s">
        <v>444</v>
      </c>
      <c r="K448" s="21"/>
      <c r="L448" s="21"/>
      <c r="M448" s="21"/>
      <c r="N448" s="21"/>
      <c r="U448" s="44"/>
      <c r="W448" s="21"/>
      <c r="Y448" s="21"/>
    </row>
    <row r="449" spans="1:25" s="14" customFormat="1" ht="17.25" customHeight="1" x14ac:dyDescent="0.25">
      <c r="A449" s="157"/>
      <c r="C449" s="21"/>
      <c r="D449" s="21"/>
      <c r="E449" s="21"/>
      <c r="F449" s="21"/>
      <c r="G449" s="21"/>
      <c r="H449" s="168" t="s">
        <v>192</v>
      </c>
      <c r="I449" s="112"/>
      <c r="J449" s="98">
        <f>J385+J429-J402</f>
        <v>571.49318266544105</v>
      </c>
      <c r="K449" s="21" t="s">
        <v>10</v>
      </c>
      <c r="L449" s="21"/>
      <c r="M449" s="21"/>
      <c r="N449" s="21"/>
      <c r="O449" s="21"/>
      <c r="U449" s="44"/>
      <c r="W449" s="21"/>
      <c r="Y449" s="21"/>
    </row>
    <row r="450" spans="1:25" s="14" customFormat="1" ht="17.25" customHeight="1" x14ac:dyDescent="0.25">
      <c r="A450" s="157"/>
      <c r="B450" s="21" t="s">
        <v>33</v>
      </c>
      <c r="C450" s="21"/>
      <c r="D450" s="21"/>
      <c r="E450" s="21"/>
      <c r="F450" s="21"/>
      <c r="G450" s="21"/>
      <c r="H450" s="168" t="s">
        <v>192</v>
      </c>
      <c r="I450" s="112"/>
      <c r="J450" s="98" t="s">
        <v>445</v>
      </c>
      <c r="K450" s="21"/>
      <c r="L450" s="21"/>
      <c r="M450" s="21"/>
      <c r="N450" s="21"/>
      <c r="O450" s="21"/>
      <c r="U450" s="44"/>
      <c r="W450" s="21"/>
      <c r="Y450" s="21"/>
    </row>
    <row r="451" spans="1:25" s="14" customFormat="1" ht="17.25" customHeight="1" x14ac:dyDescent="0.25">
      <c r="A451" s="157"/>
      <c r="C451" s="21"/>
      <c r="D451" s="21"/>
      <c r="E451" s="21"/>
      <c r="F451" s="21"/>
      <c r="G451" s="21"/>
      <c r="H451" s="168" t="s">
        <v>192</v>
      </c>
      <c r="I451" s="112"/>
      <c r="J451" s="98">
        <f>J362+J432-(J405)</f>
        <v>46.344000000000051</v>
      </c>
      <c r="K451" s="21" t="s">
        <v>10</v>
      </c>
      <c r="L451" s="21"/>
      <c r="M451" s="21"/>
      <c r="N451" s="21"/>
      <c r="O451" s="21"/>
      <c r="U451" s="44"/>
      <c r="W451" s="21"/>
      <c r="Y451" s="21"/>
    </row>
    <row r="452" spans="1:25" s="14" customFormat="1" ht="18" customHeight="1" x14ac:dyDescent="0.25">
      <c r="A452" s="157"/>
      <c r="B452" s="21" t="s">
        <v>3</v>
      </c>
      <c r="C452" s="21"/>
      <c r="D452" s="21"/>
      <c r="E452" s="21"/>
      <c r="F452" s="21"/>
      <c r="G452" s="21"/>
      <c r="H452" s="168" t="s">
        <v>192</v>
      </c>
      <c r="I452" s="112"/>
      <c r="J452" s="98" t="s">
        <v>446</v>
      </c>
      <c r="K452" s="21"/>
      <c r="L452" s="21"/>
      <c r="M452" s="21"/>
      <c r="N452" s="21"/>
      <c r="O452" s="21"/>
      <c r="U452" s="44"/>
      <c r="W452" s="21"/>
      <c r="Y452" s="21"/>
    </row>
    <row r="453" spans="1:25" s="14" customFormat="1" ht="18" customHeight="1" x14ac:dyDescent="0.25">
      <c r="A453" s="157"/>
      <c r="C453" s="21"/>
      <c r="D453" s="21"/>
      <c r="E453" s="21"/>
      <c r="F453" s="21"/>
      <c r="G453" s="21"/>
      <c r="H453" s="168" t="s">
        <v>192</v>
      </c>
      <c r="I453" s="112"/>
      <c r="J453" s="98">
        <f>J365-J408+J435</f>
        <v>92.242165</v>
      </c>
      <c r="K453" s="21" t="s">
        <v>10</v>
      </c>
      <c r="L453" s="21"/>
      <c r="M453" s="21"/>
      <c r="N453" s="21"/>
      <c r="O453" s="21"/>
      <c r="U453" s="44"/>
      <c r="W453" s="21"/>
      <c r="Y453" s="21"/>
    </row>
    <row r="454" spans="1:25" s="14" customFormat="1" ht="18.75" x14ac:dyDescent="0.25">
      <c r="A454" s="157"/>
      <c r="B454" s="21" t="s">
        <v>145</v>
      </c>
      <c r="C454" s="21"/>
      <c r="D454" s="21"/>
      <c r="E454" s="21"/>
      <c r="F454" s="21"/>
      <c r="G454" s="21"/>
      <c r="H454" s="195" t="s">
        <v>192</v>
      </c>
      <c r="I454" s="112"/>
      <c r="J454" s="98" t="s">
        <v>447</v>
      </c>
      <c r="K454" s="21"/>
      <c r="L454" s="21"/>
      <c r="M454" s="21"/>
      <c r="N454" s="21"/>
      <c r="O454" s="21"/>
      <c r="U454" s="44"/>
      <c r="W454" s="21"/>
      <c r="Y454" s="21"/>
    </row>
    <row r="455" spans="1:25" s="14" customFormat="1" ht="17.25" customHeight="1" x14ac:dyDescent="0.25">
      <c r="A455" s="157"/>
      <c r="B455" s="21"/>
      <c r="C455" s="21"/>
      <c r="D455" s="21"/>
      <c r="E455" s="21"/>
      <c r="F455" s="21"/>
      <c r="G455" s="21"/>
      <c r="H455" s="195" t="s">
        <v>192</v>
      </c>
      <c r="I455" s="112"/>
      <c r="J455" s="98">
        <f>J368+J438-J411</f>
        <v>263.03740541603918</v>
      </c>
      <c r="K455" s="21" t="s">
        <v>10</v>
      </c>
      <c r="L455" s="21"/>
      <c r="M455" s="21"/>
      <c r="N455" s="21"/>
      <c r="O455" s="21"/>
      <c r="U455" s="44"/>
      <c r="W455" s="21"/>
      <c r="Y455" s="21"/>
    </row>
    <row r="456" spans="1:25" s="14" customFormat="1" ht="19.5" customHeight="1" x14ac:dyDescent="0.25">
      <c r="A456" s="157"/>
      <c r="B456" s="21" t="s">
        <v>5</v>
      </c>
      <c r="C456" s="21"/>
      <c r="D456" s="21"/>
      <c r="E456" s="21"/>
      <c r="F456" s="21"/>
      <c r="G456" s="21"/>
      <c r="H456" s="195" t="s">
        <v>192</v>
      </c>
      <c r="I456" s="112"/>
      <c r="J456" s="98" t="s">
        <v>279</v>
      </c>
      <c r="K456" s="21"/>
      <c r="L456" s="21"/>
      <c r="M456" s="21"/>
      <c r="N456" s="21"/>
      <c r="O456" s="21"/>
      <c r="U456" s="44"/>
      <c r="W456" s="21"/>
      <c r="Y456" s="21"/>
    </row>
    <row r="457" spans="1:25" s="14" customFormat="1" ht="18.75" customHeight="1" x14ac:dyDescent="0.25">
      <c r="A457" s="157"/>
      <c r="B457" s="21"/>
      <c r="C457" s="21"/>
      <c r="D457" s="21"/>
      <c r="E457" s="21"/>
      <c r="F457" s="21"/>
      <c r="G457" s="21"/>
      <c r="H457" s="195" t="s">
        <v>192</v>
      </c>
      <c r="I457" s="112"/>
      <c r="J457" s="98" t="s">
        <v>448</v>
      </c>
      <c r="K457" s="21"/>
      <c r="L457" s="21"/>
      <c r="M457" s="21"/>
      <c r="N457" s="21"/>
      <c r="O457" s="21"/>
      <c r="U457" s="44"/>
      <c r="W457" s="21"/>
      <c r="Y457" s="21"/>
    </row>
    <row r="458" spans="1:25" s="14" customFormat="1" ht="19.5" customHeight="1" x14ac:dyDescent="0.25">
      <c r="A458" s="157"/>
      <c r="B458" s="21"/>
      <c r="C458" s="21"/>
      <c r="D458" s="21"/>
      <c r="E458" s="21"/>
      <c r="F458" s="21"/>
      <c r="G458" s="21"/>
      <c r="H458" s="195" t="s">
        <v>192</v>
      </c>
      <c r="I458" s="112"/>
      <c r="J458" s="98">
        <f>J455+J453</f>
        <v>355.27957041603918</v>
      </c>
      <c r="K458" s="21" t="s">
        <v>10</v>
      </c>
      <c r="L458" s="21"/>
      <c r="M458" s="21"/>
      <c r="N458" s="21"/>
      <c r="O458" s="21"/>
      <c r="U458" s="44"/>
      <c r="W458" s="21"/>
      <c r="Y458" s="21"/>
    </row>
    <row r="459" spans="1:25" s="14" customFormat="1" ht="19.5" customHeight="1" x14ac:dyDescent="0.25">
      <c r="A459" s="157"/>
      <c r="B459" s="21"/>
      <c r="C459" s="21"/>
      <c r="D459" s="21"/>
      <c r="E459" s="21"/>
      <c r="F459" s="21"/>
      <c r="G459" s="21"/>
      <c r="H459" s="195"/>
      <c r="I459" s="112"/>
      <c r="J459" s="98"/>
      <c r="K459" s="21"/>
      <c r="L459" s="21"/>
      <c r="M459" s="21"/>
      <c r="N459" s="21"/>
      <c r="O459" s="21"/>
      <c r="U459" s="44"/>
      <c r="W459" s="21"/>
      <c r="Y459" s="21"/>
    </row>
    <row r="460" spans="1:25" ht="19.5" customHeight="1" x14ac:dyDescent="0.25">
      <c r="A460" s="153">
        <v>2.7</v>
      </c>
      <c r="B460" s="42" t="s">
        <v>343</v>
      </c>
      <c r="C460" s="43"/>
      <c r="D460" s="43"/>
      <c r="E460" s="43"/>
      <c r="F460" s="16"/>
      <c r="G460" s="16"/>
      <c r="H460" s="147"/>
      <c r="I460" s="147"/>
      <c r="J460" s="16"/>
      <c r="K460" s="16"/>
      <c r="L460" s="16"/>
      <c r="M460" s="16"/>
      <c r="N460" s="16"/>
      <c r="O460" s="16"/>
    </row>
    <row r="461" spans="1:25" x14ac:dyDescent="0.25">
      <c r="B461" s="16"/>
      <c r="C461" s="16"/>
      <c r="D461" s="16"/>
      <c r="E461" s="16"/>
      <c r="F461" s="16"/>
      <c r="G461" s="16"/>
      <c r="H461" s="147"/>
      <c r="I461" s="147"/>
      <c r="J461" s="16"/>
      <c r="K461" s="16"/>
      <c r="L461" s="16"/>
      <c r="M461" s="16"/>
      <c r="N461" s="16"/>
      <c r="O461" s="16"/>
    </row>
    <row r="462" spans="1:25" x14ac:dyDescent="0.25">
      <c r="B462" s="16" t="s">
        <v>368</v>
      </c>
      <c r="C462" s="16"/>
      <c r="D462" s="16"/>
      <c r="E462" s="16"/>
      <c r="F462" s="16"/>
      <c r="G462" s="16"/>
      <c r="H462" s="147" t="s">
        <v>192</v>
      </c>
      <c r="I462" s="147"/>
      <c r="J462" s="16">
        <v>68</v>
      </c>
      <c r="K462" s="16" t="s">
        <v>20</v>
      </c>
      <c r="L462" s="16"/>
    </row>
    <row r="463" spans="1:25" s="14" customFormat="1" ht="17.25" customHeight="1" x14ac:dyDescent="0.25">
      <c r="A463" s="155"/>
      <c r="B463" s="16" t="s">
        <v>382</v>
      </c>
      <c r="C463" s="16"/>
      <c r="D463" s="16"/>
      <c r="E463" s="16"/>
      <c r="F463" s="16"/>
      <c r="G463" s="16"/>
      <c r="H463" s="147" t="s">
        <v>192</v>
      </c>
      <c r="I463" s="147"/>
      <c r="J463" s="216" t="s">
        <v>456</v>
      </c>
      <c r="K463" s="216"/>
      <c r="L463" s="16"/>
      <c r="M463" s="21"/>
      <c r="N463" s="21"/>
      <c r="O463" s="21"/>
      <c r="U463" s="44"/>
      <c r="W463" s="21"/>
      <c r="Y463" s="21"/>
    </row>
    <row r="464" spans="1:25" s="14" customFormat="1" ht="17.25" customHeight="1" x14ac:dyDescent="0.25">
      <c r="A464" s="155"/>
      <c r="B464" s="16"/>
      <c r="C464" s="16"/>
      <c r="D464" s="16"/>
      <c r="E464" s="16"/>
      <c r="F464" s="16"/>
      <c r="G464" s="16"/>
      <c r="H464" s="147" t="s">
        <v>192</v>
      </c>
      <c r="I464" s="147"/>
      <c r="J464" s="16">
        <f>2*J462/100</f>
        <v>1.36</v>
      </c>
      <c r="K464" s="16" t="s">
        <v>20</v>
      </c>
      <c r="L464" s="16"/>
      <c r="M464" s="21"/>
      <c r="N464" s="21"/>
      <c r="O464" s="21"/>
      <c r="U464" s="44"/>
      <c r="W464" s="21"/>
      <c r="Y464" s="21"/>
    </row>
    <row r="465" spans="1:25" ht="18.75" customHeight="1" x14ac:dyDescent="0.25">
      <c r="A465" s="13"/>
      <c r="B465" s="13" t="s">
        <v>354</v>
      </c>
      <c r="H465" s="147" t="s">
        <v>192</v>
      </c>
      <c r="I465" s="13"/>
      <c r="J465" s="13">
        <f>J462-J464</f>
        <v>66.64</v>
      </c>
      <c r="K465" s="16" t="s">
        <v>20</v>
      </c>
      <c r="M465" s="16"/>
      <c r="N465" s="16"/>
      <c r="O465" s="16"/>
    </row>
    <row r="466" spans="1:25" ht="9.75" customHeight="1" x14ac:dyDescent="0.25">
      <c r="H466" s="147" t="s">
        <v>192</v>
      </c>
    </row>
    <row r="467" spans="1:25" ht="18.75" customHeight="1" x14ac:dyDescent="0.25">
      <c r="A467" s="163" t="s">
        <v>197</v>
      </c>
      <c r="B467" s="21" t="s">
        <v>328</v>
      </c>
      <c r="C467" s="21"/>
      <c r="D467" s="21"/>
      <c r="E467" s="21"/>
      <c r="F467" s="21"/>
      <c r="G467" s="21"/>
      <c r="H467" s="147" t="s">
        <v>192</v>
      </c>
      <c r="I467" s="147"/>
      <c r="J467" s="21">
        <v>20</v>
      </c>
      <c r="K467" s="21" t="s">
        <v>356</v>
      </c>
      <c r="L467" s="21"/>
      <c r="M467" s="16"/>
      <c r="N467" s="16"/>
      <c r="O467" s="16"/>
    </row>
    <row r="468" spans="1:25" ht="18.75" customHeight="1" x14ac:dyDescent="0.25">
      <c r="A468" s="157"/>
      <c r="B468" s="21" t="s">
        <v>339</v>
      </c>
      <c r="C468" s="21"/>
      <c r="D468" s="21"/>
      <c r="E468" s="21"/>
      <c r="F468" s="21"/>
      <c r="G468" s="21"/>
      <c r="H468" s="147" t="s">
        <v>192</v>
      </c>
      <c r="I468" s="147"/>
      <c r="J468" s="211" t="s">
        <v>457</v>
      </c>
      <c r="K468" s="211"/>
      <c r="L468" s="21"/>
      <c r="M468" s="16"/>
      <c r="N468" s="16"/>
      <c r="O468" s="16"/>
    </row>
    <row r="469" spans="1:25" s="14" customFormat="1" ht="17.25" customHeight="1" x14ac:dyDescent="0.25">
      <c r="A469" s="157"/>
      <c r="B469" s="21"/>
      <c r="C469" s="21"/>
      <c r="D469" s="21"/>
      <c r="E469" s="21"/>
      <c r="F469" s="21"/>
      <c r="G469" s="21"/>
      <c r="H469" s="147" t="s">
        <v>192</v>
      </c>
      <c r="I469" s="147"/>
      <c r="J469" s="21">
        <f>J462*J467</f>
        <v>1360</v>
      </c>
      <c r="K469" s="21" t="s">
        <v>10</v>
      </c>
      <c r="L469" s="21"/>
      <c r="M469" s="21"/>
      <c r="N469" s="21"/>
      <c r="O469" s="21"/>
      <c r="U469" s="44"/>
      <c r="W469" s="21"/>
      <c r="Y469" s="21"/>
    </row>
    <row r="470" spans="1:25" s="14" customFormat="1" ht="17.25" customHeight="1" x14ac:dyDescent="0.25">
      <c r="A470" s="157"/>
      <c r="B470" s="21" t="s">
        <v>342</v>
      </c>
      <c r="C470" s="21"/>
      <c r="D470" s="21"/>
      <c r="E470" s="21"/>
      <c r="F470" s="21"/>
      <c r="G470" s="21"/>
      <c r="H470" s="147" t="s">
        <v>192</v>
      </c>
      <c r="I470" s="147"/>
      <c r="J470" s="21">
        <v>5</v>
      </c>
      <c r="K470" s="21" t="s">
        <v>18</v>
      </c>
      <c r="L470" s="21"/>
      <c r="M470" s="21"/>
      <c r="N470" s="21"/>
      <c r="O470" s="21"/>
      <c r="U470" s="44"/>
      <c r="W470" s="21"/>
      <c r="Y470" s="21"/>
    </row>
    <row r="471" spans="1:25" ht="18.75" customHeight="1" x14ac:dyDescent="0.25">
      <c r="A471" s="157"/>
      <c r="B471" s="21" t="s">
        <v>355</v>
      </c>
      <c r="C471" s="21"/>
      <c r="D471" s="21"/>
      <c r="E471" s="21"/>
      <c r="F471" s="21"/>
      <c r="G471" s="21"/>
      <c r="H471" s="147" t="s">
        <v>192</v>
      </c>
      <c r="I471" s="147"/>
      <c r="J471" s="211" t="s">
        <v>458</v>
      </c>
      <c r="K471" s="211"/>
      <c r="L471" s="21"/>
      <c r="M471" s="16"/>
      <c r="N471" s="16"/>
      <c r="O471" s="16"/>
    </row>
    <row r="472" spans="1:25" s="14" customFormat="1" ht="17.25" customHeight="1" x14ac:dyDescent="0.25">
      <c r="A472" s="157"/>
      <c r="B472" s="21"/>
      <c r="C472" s="21"/>
      <c r="D472" s="21"/>
      <c r="E472" s="21"/>
      <c r="F472" s="21"/>
      <c r="G472" s="21"/>
      <c r="H472" s="147" t="s">
        <v>192</v>
      </c>
      <c r="I472" s="147"/>
      <c r="J472" s="21">
        <f>J465*J470</f>
        <v>333.2</v>
      </c>
      <c r="K472" s="21" t="s">
        <v>10</v>
      </c>
      <c r="L472" s="21"/>
      <c r="M472" s="21"/>
      <c r="N472" s="21"/>
      <c r="O472" s="21"/>
      <c r="U472" s="44"/>
      <c r="W472" s="21"/>
      <c r="Y472" s="21"/>
    </row>
    <row r="473" spans="1:25" s="14" customFormat="1" ht="17.25" customHeight="1" x14ac:dyDescent="0.25">
      <c r="A473" s="157"/>
      <c r="B473" s="21" t="s">
        <v>381</v>
      </c>
      <c r="C473" s="21"/>
      <c r="D473" s="21"/>
      <c r="E473" s="21"/>
      <c r="F473" s="21"/>
      <c r="G473" s="21"/>
      <c r="H473" s="147" t="s">
        <v>192</v>
      </c>
      <c r="I473" s="147"/>
      <c r="J473" s="24" t="s">
        <v>459</v>
      </c>
      <c r="K473" s="21"/>
      <c r="L473" s="21"/>
      <c r="M473" s="21"/>
      <c r="N473" s="21"/>
      <c r="O473" s="21"/>
      <c r="U473" s="44"/>
      <c r="W473" s="21"/>
      <c r="Y473" s="21"/>
    </row>
    <row r="474" spans="1:25" s="14" customFormat="1" ht="17.25" customHeight="1" x14ac:dyDescent="0.25">
      <c r="A474" s="157"/>
      <c r="G474" s="21"/>
      <c r="H474" s="147" t="s">
        <v>192</v>
      </c>
      <c r="I474" s="147"/>
      <c r="J474" s="24">
        <f>J469-J472</f>
        <v>1026.8</v>
      </c>
      <c r="K474" s="21" t="s">
        <v>10</v>
      </c>
      <c r="L474" s="21"/>
      <c r="M474" s="21"/>
      <c r="N474" s="21"/>
      <c r="O474" s="21"/>
      <c r="U474" s="44"/>
      <c r="W474" s="21"/>
      <c r="Y474" s="21"/>
    </row>
    <row r="475" spans="1:25" s="14" customFormat="1" ht="17.25" customHeight="1" x14ac:dyDescent="0.25">
      <c r="A475" s="163" t="s">
        <v>197</v>
      </c>
      <c r="B475" s="21" t="s">
        <v>329</v>
      </c>
      <c r="C475" s="21"/>
      <c r="D475" s="21"/>
      <c r="E475" s="21"/>
      <c r="F475" s="21"/>
      <c r="G475" s="21"/>
      <c r="H475" s="147" t="s">
        <v>192</v>
      </c>
      <c r="I475" s="147"/>
      <c r="J475" s="21">
        <v>13</v>
      </c>
      <c r="K475" s="21" t="s">
        <v>356</v>
      </c>
      <c r="L475" s="21"/>
      <c r="M475" s="21"/>
      <c r="N475" s="21"/>
      <c r="O475" s="21"/>
      <c r="U475" s="44"/>
      <c r="W475" s="21"/>
      <c r="Y475" s="21"/>
    </row>
    <row r="476" spans="1:25" ht="18.75" customHeight="1" x14ac:dyDescent="0.25">
      <c r="A476" s="157"/>
      <c r="B476" s="21" t="s">
        <v>345</v>
      </c>
      <c r="C476" s="21"/>
      <c r="D476" s="21"/>
      <c r="E476" s="21"/>
      <c r="F476" s="21"/>
      <c r="G476" s="21"/>
      <c r="H476" s="147" t="s">
        <v>192</v>
      </c>
      <c r="I476" s="147"/>
      <c r="J476" s="211" t="s">
        <v>460</v>
      </c>
      <c r="K476" s="211"/>
      <c r="L476" s="21"/>
      <c r="M476" s="16"/>
      <c r="N476" s="16"/>
      <c r="O476" s="16"/>
    </row>
    <row r="477" spans="1:25" s="14" customFormat="1" ht="17.25" customHeight="1" x14ac:dyDescent="0.25">
      <c r="A477" s="157"/>
      <c r="B477" s="21"/>
      <c r="C477" s="21"/>
      <c r="D477" s="21"/>
      <c r="E477" s="21"/>
      <c r="F477" s="21"/>
      <c r="G477" s="21"/>
      <c r="H477" s="147" t="s">
        <v>192</v>
      </c>
      <c r="I477" s="147"/>
      <c r="J477" s="21">
        <f>J462*J475</f>
        <v>884</v>
      </c>
      <c r="K477" s="21" t="s">
        <v>10</v>
      </c>
      <c r="L477" s="21"/>
      <c r="M477" s="21"/>
      <c r="N477" s="21"/>
      <c r="O477" s="21"/>
      <c r="U477" s="44"/>
      <c r="W477" s="21"/>
      <c r="Y477" s="21"/>
    </row>
    <row r="478" spans="1:25" s="14" customFormat="1" ht="17.25" customHeight="1" x14ac:dyDescent="0.25">
      <c r="A478" s="157"/>
      <c r="B478" s="21" t="s">
        <v>344</v>
      </c>
      <c r="C478" s="21"/>
      <c r="D478" s="21"/>
      <c r="E478" s="21"/>
      <c r="F478" s="21"/>
      <c r="G478" s="21"/>
      <c r="H478" s="147" t="s">
        <v>192</v>
      </c>
      <c r="I478" s="147"/>
      <c r="J478" s="21">
        <v>10</v>
      </c>
      <c r="K478" s="21" t="s">
        <v>18</v>
      </c>
      <c r="L478" s="21"/>
      <c r="M478" s="21"/>
      <c r="N478" s="21"/>
      <c r="O478" s="21"/>
      <c r="U478" s="44"/>
      <c r="W478" s="21"/>
      <c r="Y478" s="21"/>
    </row>
    <row r="479" spans="1:25" ht="18.75" customHeight="1" x14ac:dyDescent="0.25">
      <c r="A479" s="157"/>
      <c r="B479" s="21" t="s">
        <v>362</v>
      </c>
      <c r="C479" s="21"/>
      <c r="D479" s="21"/>
      <c r="E479" s="21"/>
      <c r="F479" s="21"/>
      <c r="G479" s="21"/>
      <c r="H479" s="147" t="s">
        <v>192</v>
      </c>
      <c r="I479" s="147"/>
      <c r="J479" s="211" t="s">
        <v>461</v>
      </c>
      <c r="K479" s="211"/>
      <c r="L479" s="21"/>
      <c r="M479" s="16"/>
      <c r="N479" s="16"/>
      <c r="O479" s="16"/>
    </row>
    <row r="480" spans="1:25" s="14" customFormat="1" ht="17.25" customHeight="1" x14ac:dyDescent="0.25">
      <c r="A480" s="157"/>
      <c r="B480" s="21"/>
      <c r="C480" s="21"/>
      <c r="D480" s="21"/>
      <c r="E480" s="21"/>
      <c r="F480" s="21"/>
      <c r="G480" s="21"/>
      <c r="H480" s="147" t="s">
        <v>192</v>
      </c>
      <c r="I480" s="147"/>
      <c r="J480" s="21">
        <f>J465*J478</f>
        <v>666.4</v>
      </c>
      <c r="K480" s="21" t="s">
        <v>10</v>
      </c>
      <c r="L480" s="21"/>
      <c r="M480" s="21"/>
      <c r="N480" s="21"/>
      <c r="O480" s="21"/>
      <c r="U480" s="44"/>
      <c r="W480" s="21"/>
      <c r="Y480" s="21"/>
    </row>
    <row r="481" spans="1:25" s="14" customFormat="1" ht="17.25" customHeight="1" x14ac:dyDescent="0.25">
      <c r="A481" s="157"/>
      <c r="B481" s="21" t="s">
        <v>330</v>
      </c>
      <c r="C481" s="21"/>
      <c r="D481" s="21"/>
      <c r="E481" s="21"/>
      <c r="F481" s="21"/>
      <c r="G481" s="21"/>
      <c r="H481" s="147" t="s">
        <v>192</v>
      </c>
      <c r="I481" s="147"/>
      <c r="J481" s="24" t="s">
        <v>462</v>
      </c>
      <c r="K481" s="21"/>
      <c r="L481" s="21"/>
      <c r="M481" s="21"/>
      <c r="N481" s="21"/>
      <c r="O481" s="21"/>
      <c r="U481" s="44"/>
      <c r="W481" s="21"/>
      <c r="Y481" s="21"/>
    </row>
    <row r="482" spans="1:25" s="14" customFormat="1" ht="17.25" customHeight="1" x14ac:dyDescent="0.25">
      <c r="A482" s="157"/>
      <c r="G482" s="21"/>
      <c r="H482" s="147" t="s">
        <v>192</v>
      </c>
      <c r="I482" s="147"/>
      <c r="J482" s="24">
        <f>J477-J480</f>
        <v>217.60000000000002</v>
      </c>
      <c r="K482" s="21" t="s">
        <v>10</v>
      </c>
      <c r="L482" s="21"/>
      <c r="M482" s="21"/>
      <c r="N482" s="21"/>
      <c r="O482" s="21"/>
      <c r="U482" s="44"/>
      <c r="W482" s="21"/>
      <c r="Y482" s="21"/>
    </row>
    <row r="483" spans="1:25" s="14" customFormat="1" ht="35.25" customHeight="1" x14ac:dyDescent="0.25">
      <c r="A483" s="204" t="s">
        <v>197</v>
      </c>
      <c r="B483" s="215" t="s">
        <v>364</v>
      </c>
      <c r="C483" s="215"/>
      <c r="D483" s="215"/>
      <c r="E483" s="215"/>
      <c r="F483" s="215"/>
      <c r="G483" s="215"/>
      <c r="H483" s="215"/>
      <c r="I483" s="215"/>
      <c r="J483" s="215"/>
      <c r="K483" s="215"/>
      <c r="L483" s="215"/>
      <c r="M483" s="215"/>
      <c r="N483" s="21"/>
      <c r="O483" s="21"/>
      <c r="U483" s="44"/>
      <c r="W483" s="21"/>
      <c r="Y483" s="21"/>
    </row>
    <row r="484" spans="1:25" s="14" customFormat="1" ht="17.25" customHeight="1" x14ac:dyDescent="0.25">
      <c r="B484" s="21" t="s">
        <v>336</v>
      </c>
      <c r="C484" s="21"/>
      <c r="D484" s="21"/>
      <c r="E484" s="21"/>
      <c r="F484" s="21"/>
      <c r="G484" s="21"/>
      <c r="H484" s="147" t="s">
        <v>192</v>
      </c>
      <c r="I484" s="147"/>
      <c r="J484" s="21">
        <v>1</v>
      </c>
      <c r="K484" s="21" t="s">
        <v>18</v>
      </c>
      <c r="L484" s="21"/>
      <c r="M484" s="21"/>
      <c r="N484" s="21"/>
      <c r="O484" s="21"/>
      <c r="U484" s="44"/>
      <c r="W484" s="21"/>
      <c r="Y484" s="21"/>
    </row>
    <row r="485" spans="1:25" ht="18.75" customHeight="1" x14ac:dyDescent="0.25">
      <c r="A485" s="157"/>
      <c r="B485" s="21" t="s">
        <v>347</v>
      </c>
      <c r="C485" s="21"/>
      <c r="D485" s="21"/>
      <c r="E485" s="21"/>
      <c r="F485" s="21"/>
      <c r="G485" s="21"/>
      <c r="H485" s="147" t="s">
        <v>192</v>
      </c>
      <c r="I485" s="147"/>
      <c r="J485" s="211" t="s">
        <v>463</v>
      </c>
      <c r="K485" s="211"/>
      <c r="L485" s="21"/>
      <c r="M485" s="16"/>
      <c r="N485" s="16"/>
      <c r="O485" s="16"/>
    </row>
    <row r="486" spans="1:25" s="14" customFormat="1" ht="17.25" customHeight="1" x14ac:dyDescent="0.25">
      <c r="A486" s="157"/>
      <c r="B486" s="21"/>
      <c r="C486" s="21"/>
      <c r="D486" s="21"/>
      <c r="E486" s="21"/>
      <c r="F486" s="21"/>
      <c r="G486" s="21"/>
      <c r="H486" s="147" t="s">
        <v>192</v>
      </c>
      <c r="I486" s="147"/>
      <c r="J486" s="21">
        <f>J484*J462</f>
        <v>68</v>
      </c>
      <c r="K486" s="21" t="s">
        <v>10</v>
      </c>
      <c r="L486" s="21"/>
      <c r="M486" s="21"/>
      <c r="N486" s="21"/>
      <c r="O486" s="21"/>
      <c r="U486" s="44"/>
      <c r="W486" s="21"/>
      <c r="Y486" s="21"/>
    </row>
    <row r="487" spans="1:25" s="14" customFormat="1" ht="17.25" customHeight="1" x14ac:dyDescent="0.25">
      <c r="A487" s="157"/>
      <c r="B487" s="21" t="s">
        <v>346</v>
      </c>
      <c r="C487" s="21"/>
      <c r="D487" s="21"/>
      <c r="E487" s="21"/>
      <c r="F487" s="21"/>
      <c r="G487" s="21"/>
      <c r="H487" s="147" t="s">
        <v>192</v>
      </c>
      <c r="I487" s="147"/>
      <c r="J487" s="21">
        <v>1</v>
      </c>
      <c r="K487" s="21" t="s">
        <v>18</v>
      </c>
      <c r="L487" s="21"/>
      <c r="M487" s="21"/>
      <c r="N487" s="21"/>
      <c r="O487" s="21"/>
      <c r="U487" s="44"/>
      <c r="W487" s="21"/>
      <c r="Y487" s="21"/>
    </row>
    <row r="488" spans="1:25" ht="18.75" customHeight="1" x14ac:dyDescent="0.25">
      <c r="A488" s="157"/>
      <c r="B488" s="21" t="s">
        <v>348</v>
      </c>
      <c r="C488" s="21"/>
      <c r="D488" s="21"/>
      <c r="E488" s="21"/>
      <c r="F488" s="21"/>
      <c r="G488" s="21"/>
      <c r="H488" s="147" t="s">
        <v>192</v>
      </c>
      <c r="I488" s="147"/>
      <c r="J488" s="211" t="s">
        <v>464</v>
      </c>
      <c r="K488" s="211"/>
      <c r="L488" s="21"/>
      <c r="M488" s="16"/>
      <c r="N488" s="16"/>
      <c r="O488" s="16"/>
    </row>
    <row r="489" spans="1:25" s="14" customFormat="1" ht="17.25" customHeight="1" x14ac:dyDescent="0.25">
      <c r="A489" s="157"/>
      <c r="B489" s="21"/>
      <c r="C489" s="21"/>
      <c r="D489" s="21"/>
      <c r="E489" s="21"/>
      <c r="F489" s="21"/>
      <c r="G489" s="21"/>
      <c r="H489" s="147" t="s">
        <v>192</v>
      </c>
      <c r="I489" s="147"/>
      <c r="J489" s="21">
        <f>J465*J484</f>
        <v>66.64</v>
      </c>
      <c r="K489" s="21" t="s">
        <v>10</v>
      </c>
      <c r="L489" s="21"/>
      <c r="M489" s="21"/>
      <c r="N489" s="21"/>
      <c r="O489" s="21"/>
      <c r="U489" s="44"/>
      <c r="W489" s="21"/>
      <c r="Y489" s="21"/>
    </row>
    <row r="490" spans="1:25" s="14" customFormat="1" ht="17.25" customHeight="1" x14ac:dyDescent="0.25">
      <c r="A490" s="157"/>
      <c r="B490" s="21" t="s">
        <v>280</v>
      </c>
      <c r="C490" s="21"/>
      <c r="D490" s="21"/>
      <c r="E490" s="21"/>
      <c r="F490" s="21"/>
      <c r="G490" s="21"/>
      <c r="H490" s="147" t="s">
        <v>192</v>
      </c>
      <c r="I490" s="147"/>
      <c r="J490" s="24" t="s">
        <v>465</v>
      </c>
      <c r="K490" s="21"/>
      <c r="L490" s="21"/>
      <c r="M490" s="21"/>
      <c r="N490" s="21"/>
      <c r="O490" s="21"/>
      <c r="U490" s="44"/>
      <c r="W490" s="21"/>
      <c r="Y490" s="21"/>
    </row>
    <row r="491" spans="1:25" s="14" customFormat="1" ht="17.25" customHeight="1" x14ac:dyDescent="0.25">
      <c r="A491" s="157"/>
      <c r="G491" s="21"/>
      <c r="H491" s="147" t="s">
        <v>192</v>
      </c>
      <c r="I491" s="147"/>
      <c r="J491" s="98">
        <f>J486-J489</f>
        <v>1.3599999999999994</v>
      </c>
      <c r="K491" s="21" t="s">
        <v>10</v>
      </c>
      <c r="L491" s="21"/>
      <c r="M491" s="21"/>
      <c r="N491" s="21"/>
      <c r="O491" s="21"/>
      <c r="U491" s="44"/>
      <c r="W491" s="21"/>
      <c r="Y491" s="21"/>
    </row>
    <row r="492" spans="1:25" s="14" customFormat="1" ht="32.25" customHeight="1" x14ac:dyDescent="0.25">
      <c r="A492" s="204" t="s">
        <v>197</v>
      </c>
      <c r="B492" s="215" t="s">
        <v>363</v>
      </c>
      <c r="C492" s="215"/>
      <c r="D492" s="215"/>
      <c r="E492" s="215"/>
      <c r="F492" s="215"/>
      <c r="G492" s="215"/>
      <c r="H492" s="215"/>
      <c r="I492" s="215"/>
      <c r="J492" s="215"/>
      <c r="K492" s="215"/>
      <c r="L492" s="215"/>
      <c r="M492" s="215"/>
      <c r="N492" s="21"/>
      <c r="O492" s="21"/>
      <c r="U492" s="44"/>
      <c r="W492" s="21"/>
      <c r="Y492" s="21"/>
    </row>
    <row r="493" spans="1:25" s="14" customFormat="1" ht="17.25" customHeight="1" x14ac:dyDescent="0.25">
      <c r="B493" s="21" t="s">
        <v>337</v>
      </c>
      <c r="C493" s="21"/>
      <c r="D493" s="21"/>
      <c r="E493" s="21"/>
      <c r="F493" s="21"/>
      <c r="G493" s="21"/>
      <c r="H493" s="147" t="s">
        <v>192</v>
      </c>
      <c r="I493" s="147"/>
      <c r="J493" s="21">
        <v>2</v>
      </c>
      <c r="K493" s="21" t="s">
        <v>361</v>
      </c>
      <c r="L493" s="21"/>
      <c r="M493" s="21"/>
      <c r="N493" s="21"/>
      <c r="O493" s="21"/>
      <c r="U493" s="44"/>
      <c r="W493" s="21"/>
      <c r="Y493" s="21"/>
    </row>
    <row r="494" spans="1:25" ht="18.75" customHeight="1" x14ac:dyDescent="0.25">
      <c r="A494" s="157"/>
      <c r="B494" s="21" t="s">
        <v>352</v>
      </c>
      <c r="C494" s="21"/>
      <c r="D494" s="21"/>
      <c r="E494" s="21"/>
      <c r="F494" s="21"/>
      <c r="G494" s="21"/>
      <c r="H494" s="147" t="s">
        <v>192</v>
      </c>
      <c r="I494" s="147"/>
      <c r="J494" s="211" t="s">
        <v>466</v>
      </c>
      <c r="K494" s="211"/>
      <c r="L494" s="21"/>
      <c r="M494" s="16"/>
      <c r="N494" s="16"/>
      <c r="O494" s="16"/>
    </row>
    <row r="495" spans="1:25" s="14" customFormat="1" ht="17.25" customHeight="1" x14ac:dyDescent="0.25">
      <c r="A495" s="157"/>
      <c r="B495" s="21"/>
      <c r="C495" s="21"/>
      <c r="D495" s="21"/>
      <c r="E495" s="21"/>
      <c r="F495" s="21"/>
      <c r="G495" s="21"/>
      <c r="H495" s="147" t="s">
        <v>192</v>
      </c>
      <c r="I495" s="147"/>
      <c r="J495" s="21">
        <f>J462*J493</f>
        <v>136</v>
      </c>
      <c r="K495" s="21" t="s">
        <v>10</v>
      </c>
      <c r="L495" s="21"/>
      <c r="M495" s="21"/>
      <c r="N495" s="21"/>
      <c r="O495" s="21"/>
      <c r="U495" s="44"/>
      <c r="W495" s="21"/>
      <c r="Y495" s="21"/>
    </row>
    <row r="496" spans="1:25" s="14" customFormat="1" ht="17.25" customHeight="1" x14ac:dyDescent="0.25">
      <c r="A496" s="157"/>
      <c r="B496" s="21" t="s">
        <v>340</v>
      </c>
      <c r="C496" s="21"/>
      <c r="D496" s="21"/>
      <c r="E496" s="21"/>
      <c r="F496" s="21"/>
      <c r="G496" s="21"/>
      <c r="H496" s="147" t="s">
        <v>192</v>
      </c>
      <c r="I496" s="147"/>
      <c r="J496" s="21">
        <v>2</v>
      </c>
      <c r="K496" s="21" t="s">
        <v>18</v>
      </c>
      <c r="L496" s="21"/>
      <c r="M496" s="21"/>
      <c r="N496" s="21"/>
      <c r="O496" s="21"/>
      <c r="U496" s="44"/>
      <c r="W496" s="21"/>
      <c r="Y496" s="21"/>
    </row>
    <row r="497" spans="1:25" ht="18.75" customHeight="1" x14ac:dyDescent="0.25">
      <c r="A497" s="157"/>
      <c r="B497" s="21" t="s">
        <v>351</v>
      </c>
      <c r="C497" s="21"/>
      <c r="D497" s="21"/>
      <c r="E497" s="21"/>
      <c r="F497" s="21"/>
      <c r="G497" s="21"/>
      <c r="H497" s="147" t="s">
        <v>192</v>
      </c>
      <c r="I497" s="147"/>
      <c r="J497" s="211" t="s">
        <v>467</v>
      </c>
      <c r="K497" s="211"/>
      <c r="L497" s="21"/>
      <c r="M497" s="16"/>
      <c r="N497" s="16"/>
      <c r="O497" s="16"/>
    </row>
    <row r="498" spans="1:25" s="14" customFormat="1" ht="17.25" customHeight="1" x14ac:dyDescent="0.25">
      <c r="A498" s="157"/>
      <c r="B498" s="21"/>
      <c r="C498" s="21"/>
      <c r="D498" s="21"/>
      <c r="E498" s="21"/>
      <c r="F498" s="21"/>
      <c r="G498" s="21"/>
      <c r="H498" s="147" t="s">
        <v>192</v>
      </c>
      <c r="I498" s="147"/>
      <c r="J498" s="21">
        <f>J465*J496</f>
        <v>133.28</v>
      </c>
      <c r="K498" s="21" t="s">
        <v>10</v>
      </c>
      <c r="L498" s="21"/>
      <c r="M498" s="21"/>
      <c r="N498" s="21"/>
      <c r="O498" s="21"/>
      <c r="U498" s="44"/>
      <c r="W498" s="21"/>
      <c r="Y498" s="21"/>
    </row>
    <row r="499" spans="1:25" s="14" customFormat="1" ht="17.25" customHeight="1" x14ac:dyDescent="0.25">
      <c r="A499" s="157"/>
      <c r="B499" s="21" t="s">
        <v>281</v>
      </c>
      <c r="C499" s="21"/>
      <c r="D499" s="21"/>
      <c r="E499" s="21"/>
      <c r="F499" s="21"/>
      <c r="G499" s="21"/>
      <c r="H499" s="147" t="s">
        <v>192</v>
      </c>
      <c r="I499" s="147"/>
      <c r="J499" s="24" t="s">
        <v>468</v>
      </c>
      <c r="K499" s="21"/>
      <c r="L499" s="21"/>
      <c r="M499" s="21"/>
      <c r="N499" s="21"/>
      <c r="O499" s="21"/>
      <c r="U499" s="44"/>
      <c r="W499" s="21"/>
      <c r="Y499" s="21"/>
    </row>
    <row r="500" spans="1:25" s="14" customFormat="1" ht="17.25" customHeight="1" x14ac:dyDescent="0.25">
      <c r="A500" s="157"/>
      <c r="G500" s="21"/>
      <c r="H500" s="147" t="s">
        <v>192</v>
      </c>
      <c r="I500" s="147"/>
      <c r="J500" s="98">
        <f>J495-J498</f>
        <v>2.7199999999999989</v>
      </c>
      <c r="K500" s="21" t="s">
        <v>10</v>
      </c>
      <c r="L500" s="21"/>
      <c r="M500" s="21"/>
      <c r="N500" s="21"/>
      <c r="O500" s="21"/>
      <c r="U500" s="44"/>
      <c r="W500" s="21"/>
      <c r="Y500" s="21"/>
    </row>
    <row r="501" spans="1:25" s="14" customFormat="1" ht="37.5" customHeight="1" x14ac:dyDescent="0.25">
      <c r="A501" s="204" t="s">
        <v>197</v>
      </c>
      <c r="B501" s="215" t="s">
        <v>365</v>
      </c>
      <c r="C501" s="215"/>
      <c r="D501" s="215"/>
      <c r="E501" s="215"/>
      <c r="F501" s="215"/>
      <c r="G501" s="215"/>
      <c r="H501" s="215"/>
      <c r="I501" s="215"/>
      <c r="J501" s="215"/>
      <c r="K501" s="215"/>
      <c r="L501" s="215"/>
      <c r="M501" s="215"/>
      <c r="N501" s="21"/>
      <c r="O501" s="21"/>
      <c r="U501" s="44"/>
      <c r="W501" s="21"/>
      <c r="Y501" s="21"/>
    </row>
    <row r="502" spans="1:25" s="14" customFormat="1" ht="17.25" customHeight="1" x14ac:dyDescent="0.25">
      <c r="B502" s="21" t="s">
        <v>338</v>
      </c>
      <c r="C502" s="21"/>
      <c r="D502" s="21"/>
      <c r="E502" s="21"/>
      <c r="F502" s="21"/>
      <c r="G502" s="21"/>
      <c r="H502" s="147" t="s">
        <v>192</v>
      </c>
      <c r="I502" s="147"/>
      <c r="J502" s="21">
        <v>1</v>
      </c>
      <c r="K502" s="21" t="s">
        <v>18</v>
      </c>
      <c r="L502" s="21"/>
      <c r="M502" s="21"/>
      <c r="N502" s="21"/>
      <c r="O502" s="21"/>
      <c r="U502" s="44"/>
      <c r="W502" s="21"/>
      <c r="Y502" s="21"/>
    </row>
    <row r="503" spans="1:25" ht="18.75" customHeight="1" x14ac:dyDescent="0.25">
      <c r="A503" s="157"/>
      <c r="B503" s="21" t="s">
        <v>350</v>
      </c>
      <c r="C503" s="21"/>
      <c r="D503" s="21"/>
      <c r="E503" s="21"/>
      <c r="F503" s="21"/>
      <c r="G503" s="21"/>
      <c r="H503" s="147" t="s">
        <v>192</v>
      </c>
      <c r="I503" s="147"/>
      <c r="J503" s="211" t="s">
        <v>463</v>
      </c>
      <c r="K503" s="211"/>
      <c r="L503" s="21"/>
      <c r="M503" s="16"/>
      <c r="N503" s="16"/>
      <c r="O503" s="16"/>
    </row>
    <row r="504" spans="1:25" s="14" customFormat="1" ht="17.25" customHeight="1" x14ac:dyDescent="0.25">
      <c r="A504" s="157"/>
      <c r="B504" s="21"/>
      <c r="C504" s="21"/>
      <c r="D504" s="21"/>
      <c r="E504" s="21"/>
      <c r="F504" s="21"/>
      <c r="G504" s="21"/>
      <c r="H504" s="147" t="s">
        <v>192</v>
      </c>
      <c r="I504" s="147"/>
      <c r="J504" s="21">
        <f>J462*J502</f>
        <v>68</v>
      </c>
      <c r="K504" s="21" t="s">
        <v>10</v>
      </c>
      <c r="L504" s="21"/>
      <c r="M504" s="21"/>
      <c r="N504" s="21"/>
      <c r="O504" s="21"/>
      <c r="U504" s="44"/>
      <c r="W504" s="21"/>
      <c r="Y504" s="21"/>
    </row>
    <row r="505" spans="1:25" s="14" customFormat="1" ht="17.25" customHeight="1" x14ac:dyDescent="0.25">
      <c r="A505" s="157"/>
      <c r="B505" s="21" t="s">
        <v>341</v>
      </c>
      <c r="C505" s="21"/>
      <c r="D505" s="21"/>
      <c r="E505" s="21"/>
      <c r="F505" s="21"/>
      <c r="G505" s="21"/>
      <c r="H505" s="147" t="s">
        <v>192</v>
      </c>
      <c r="I505" s="147"/>
      <c r="J505" s="21">
        <v>1</v>
      </c>
      <c r="K505" s="21" t="s">
        <v>18</v>
      </c>
      <c r="L505" s="21"/>
      <c r="M505" s="21"/>
      <c r="N505" s="21"/>
      <c r="O505" s="21"/>
      <c r="U505" s="44"/>
      <c r="W505" s="21"/>
      <c r="Y505" s="21"/>
    </row>
    <row r="506" spans="1:25" ht="18.75" customHeight="1" x14ac:dyDescent="0.25">
      <c r="A506" s="157"/>
      <c r="B506" s="21" t="s">
        <v>349</v>
      </c>
      <c r="C506" s="21"/>
      <c r="D506" s="21"/>
      <c r="E506" s="21"/>
      <c r="F506" s="21"/>
      <c r="G506" s="21"/>
      <c r="H506" s="147" t="s">
        <v>192</v>
      </c>
      <c r="I506" s="147"/>
      <c r="J506" s="211" t="s">
        <v>469</v>
      </c>
      <c r="K506" s="211"/>
      <c r="L506" s="21"/>
      <c r="M506" s="16"/>
      <c r="N506" s="16"/>
      <c r="O506" s="16"/>
    </row>
    <row r="507" spans="1:25" s="14" customFormat="1" ht="17.25" customHeight="1" x14ac:dyDescent="0.25">
      <c r="A507" s="157"/>
      <c r="B507" s="21"/>
      <c r="C507" s="21"/>
      <c r="D507" s="21"/>
      <c r="E507" s="21"/>
      <c r="F507" s="21"/>
      <c r="G507" s="21"/>
      <c r="H507" s="147" t="s">
        <v>192</v>
      </c>
      <c r="I507" s="147"/>
      <c r="J507" s="21">
        <f>J465*J505</f>
        <v>66.64</v>
      </c>
      <c r="K507" s="21" t="s">
        <v>10</v>
      </c>
      <c r="L507" s="21"/>
      <c r="M507" s="21"/>
      <c r="N507" s="21"/>
      <c r="O507" s="21"/>
      <c r="U507" s="44"/>
      <c r="W507" s="21"/>
      <c r="Y507" s="21"/>
    </row>
    <row r="508" spans="1:25" s="14" customFormat="1" ht="17.25" customHeight="1" x14ac:dyDescent="0.25">
      <c r="A508" s="157"/>
      <c r="B508" s="21" t="s">
        <v>282</v>
      </c>
      <c r="C508" s="21"/>
      <c r="D508" s="21"/>
      <c r="E508" s="21"/>
      <c r="F508" s="21"/>
      <c r="G508" s="21"/>
      <c r="H508" s="147" t="s">
        <v>192</v>
      </c>
      <c r="I508" s="147"/>
      <c r="J508" s="226" t="s">
        <v>465</v>
      </c>
      <c r="K508" s="226"/>
      <c r="L508" s="21"/>
      <c r="M508" s="21"/>
      <c r="N508" s="21"/>
      <c r="O508" s="21"/>
      <c r="U508" s="44"/>
      <c r="W508" s="21"/>
      <c r="Y508" s="21"/>
    </row>
    <row r="509" spans="1:25" s="14" customFormat="1" ht="17.25" customHeight="1" x14ac:dyDescent="0.25">
      <c r="A509" s="157"/>
      <c r="G509" s="21"/>
      <c r="H509" s="147" t="s">
        <v>192</v>
      </c>
      <c r="I509" s="147"/>
      <c r="J509" s="98">
        <f>J504-J507</f>
        <v>1.3599999999999994</v>
      </c>
      <c r="K509" s="21" t="s">
        <v>10</v>
      </c>
      <c r="L509" s="21"/>
      <c r="M509" s="21"/>
      <c r="N509" s="21"/>
      <c r="O509" s="21"/>
      <c r="U509" s="44"/>
      <c r="W509" s="21"/>
      <c r="Y509" s="21"/>
    </row>
    <row r="510" spans="1:25" s="14" customFormat="1" ht="17.25" customHeight="1" x14ac:dyDescent="0.25">
      <c r="A510" s="157"/>
      <c r="B510" s="21" t="s">
        <v>284</v>
      </c>
      <c r="G510" s="21"/>
      <c r="H510" s="147" t="s">
        <v>192</v>
      </c>
      <c r="I510" s="147"/>
      <c r="J510" s="98" t="s">
        <v>366</v>
      </c>
      <c r="K510" s="21"/>
      <c r="L510" s="21"/>
      <c r="M510" s="21"/>
      <c r="N510" s="21"/>
      <c r="O510" s="21"/>
      <c r="U510" s="44"/>
      <c r="W510" s="21"/>
      <c r="Y510" s="21"/>
    </row>
    <row r="511" spans="1:25" s="14" customFormat="1" x14ac:dyDescent="0.25">
      <c r="A511" s="157"/>
      <c r="C511" s="21"/>
      <c r="D511" s="21"/>
      <c r="E511" s="21"/>
      <c r="F511" s="21"/>
      <c r="G511" s="21"/>
      <c r="H511" s="147" t="s">
        <v>192</v>
      </c>
      <c r="I511" s="147"/>
      <c r="J511" s="225" t="s">
        <v>470</v>
      </c>
      <c r="K511" s="225"/>
      <c r="L511" s="21"/>
      <c r="M511" s="21"/>
      <c r="N511" s="21"/>
      <c r="U511" s="44"/>
      <c r="W511" s="21"/>
      <c r="Y511" s="21"/>
    </row>
    <row r="512" spans="1:25" ht="18.75" customHeight="1" x14ac:dyDescent="0.25">
      <c r="B512" s="16"/>
      <c r="C512" s="16"/>
      <c r="D512" s="16"/>
      <c r="E512" s="16"/>
      <c r="F512" s="16"/>
      <c r="G512" s="16"/>
      <c r="H512" s="147" t="s">
        <v>192</v>
      </c>
      <c r="I512" s="147"/>
      <c r="J512" s="19">
        <f>J500+J509</f>
        <v>4.0799999999999983</v>
      </c>
      <c r="K512" s="16" t="s">
        <v>10</v>
      </c>
      <c r="L512" s="16"/>
      <c r="M512" s="16"/>
      <c r="N512" s="16"/>
    </row>
    <row r="513" spans="1:25" ht="19.5" customHeight="1" x14ac:dyDescent="0.25">
      <c r="B513" s="16"/>
      <c r="C513" s="16"/>
      <c r="D513" s="16"/>
      <c r="E513" s="16"/>
      <c r="F513" s="16"/>
      <c r="G513" s="16"/>
      <c r="H513" s="147" t="s">
        <v>192</v>
      </c>
      <c r="I513" s="147"/>
      <c r="L513" s="16"/>
      <c r="M513" s="16"/>
      <c r="N513" s="16"/>
    </row>
    <row r="514" spans="1:25" ht="36" customHeight="1" x14ac:dyDescent="0.25">
      <c r="A514" s="176">
        <v>2.8</v>
      </c>
      <c r="B514" s="219" t="s">
        <v>283</v>
      </c>
      <c r="C514" s="219"/>
      <c r="D514" s="219"/>
      <c r="E514" s="219"/>
      <c r="F514" s="219"/>
      <c r="G514" s="219"/>
      <c r="H514" s="219"/>
      <c r="I514" s="219"/>
      <c r="J514" s="219"/>
      <c r="K514" s="219"/>
      <c r="L514" s="219"/>
      <c r="M514" s="219"/>
    </row>
    <row r="515" spans="1:25" ht="32.25" customHeight="1" x14ac:dyDescent="0.25">
      <c r="B515" s="105" t="s">
        <v>73</v>
      </c>
      <c r="C515" s="48"/>
      <c r="D515" s="48"/>
      <c r="E515" s="48"/>
      <c r="F515" s="48"/>
      <c r="G515" s="48"/>
      <c r="H515" s="105" t="s">
        <v>192</v>
      </c>
      <c r="I515" s="105"/>
      <c r="J515" s="218" t="s">
        <v>193</v>
      </c>
      <c r="K515" s="218"/>
      <c r="L515" s="218"/>
      <c r="M515" s="218"/>
      <c r="N515" s="100"/>
      <c r="O515" s="100"/>
    </row>
    <row r="516" spans="1:25" ht="18.75" customHeight="1" x14ac:dyDescent="0.25">
      <c r="B516" s="121" t="s">
        <v>19</v>
      </c>
      <c r="C516" s="121"/>
      <c r="D516" s="121"/>
      <c r="E516" s="121"/>
      <c r="F516" s="121"/>
      <c r="G516" s="121"/>
      <c r="H516" s="147" t="s">
        <v>192</v>
      </c>
      <c r="I516" s="150"/>
      <c r="J516" s="150" t="s">
        <v>471</v>
      </c>
      <c r="K516" s="189"/>
      <c r="L516" s="189"/>
      <c r="M516" s="189"/>
      <c r="N516" s="100"/>
      <c r="O516" s="100"/>
    </row>
    <row r="517" spans="1:25" s="16" customFormat="1" ht="18.75" x14ac:dyDescent="0.25">
      <c r="A517" s="154"/>
      <c r="H517" s="147" t="s">
        <v>192</v>
      </c>
      <c r="I517" s="147"/>
      <c r="J517" s="96">
        <f>(J464*1000)+J445+J136</f>
        <v>4032.9479593502174</v>
      </c>
      <c r="K517" s="16" t="s">
        <v>449</v>
      </c>
      <c r="U517" s="35"/>
    </row>
    <row r="518" spans="1:25" ht="18.75" customHeight="1" x14ac:dyDescent="0.25">
      <c r="B518" s="21" t="s">
        <v>2</v>
      </c>
      <c r="C518" s="16"/>
      <c r="D518" s="16"/>
      <c r="E518" s="16"/>
      <c r="F518" s="16"/>
      <c r="G518" s="16"/>
      <c r="H518" s="150" t="s">
        <v>192</v>
      </c>
      <c r="I518" s="147"/>
      <c r="J518" s="121" t="s">
        <v>472</v>
      </c>
      <c r="K518" s="16"/>
      <c r="L518" s="16"/>
      <c r="M518" s="16"/>
      <c r="N518" s="16"/>
    </row>
    <row r="519" spans="1:25" s="14" customFormat="1" ht="18.75" customHeight="1" x14ac:dyDescent="0.25">
      <c r="A519" s="157"/>
      <c r="B519" s="21"/>
      <c r="C519" s="21"/>
      <c r="D519" s="21"/>
      <c r="E519" s="21"/>
      <c r="F519" s="21"/>
      <c r="G519" s="21"/>
      <c r="H519" s="150" t="s">
        <v>192</v>
      </c>
      <c r="I519" s="112"/>
      <c r="J519" s="98">
        <f>J474+J447+J139</f>
        <v>4345.726302920707</v>
      </c>
      <c r="K519" s="21" t="s">
        <v>10</v>
      </c>
      <c r="L519" s="21"/>
      <c r="M519" s="21"/>
      <c r="U519" s="44"/>
      <c r="W519" s="21"/>
      <c r="Y519" s="21"/>
    </row>
    <row r="520" spans="1:25" s="14" customFormat="1" ht="18.75" x14ac:dyDescent="0.25">
      <c r="A520" s="157"/>
      <c r="B520" s="14" t="s">
        <v>64</v>
      </c>
      <c r="H520" s="105" t="s">
        <v>192</v>
      </c>
      <c r="I520" s="22"/>
      <c r="J520" s="20" t="s">
        <v>473</v>
      </c>
      <c r="U520" s="44"/>
      <c r="W520" s="21"/>
      <c r="Y520" s="21"/>
    </row>
    <row r="521" spans="1:25" s="14" customFormat="1" ht="17.25" customHeight="1" x14ac:dyDescent="0.25">
      <c r="A521" s="157"/>
      <c r="H521" s="105" t="s">
        <v>192</v>
      </c>
      <c r="I521" s="22"/>
      <c r="J521" s="20">
        <f>J482+J449+J142</f>
        <v>1709.0272378125005</v>
      </c>
      <c r="K521" s="14" t="s">
        <v>10</v>
      </c>
      <c r="U521" s="44"/>
      <c r="W521" s="21"/>
      <c r="Y521" s="21"/>
    </row>
    <row r="522" spans="1:25" s="14" customFormat="1" ht="19.5" customHeight="1" x14ac:dyDescent="0.25">
      <c r="A522" s="157"/>
      <c r="B522" s="14" t="s">
        <v>4</v>
      </c>
      <c r="H522" s="105" t="s">
        <v>192</v>
      </c>
      <c r="I522" s="22"/>
      <c r="J522" s="20" t="s">
        <v>474</v>
      </c>
      <c r="U522" s="44"/>
      <c r="W522" s="21"/>
      <c r="Y522" s="21"/>
    </row>
    <row r="523" spans="1:25" s="14" customFormat="1" ht="20.25" customHeight="1" x14ac:dyDescent="0.25">
      <c r="A523" s="157"/>
      <c r="H523" s="105" t="s">
        <v>192</v>
      </c>
      <c r="I523" s="22"/>
      <c r="J523" s="20">
        <f>J491+J451+J145</f>
        <v>78.0240000000001</v>
      </c>
      <c r="K523" s="14" t="s">
        <v>10</v>
      </c>
      <c r="U523" s="44"/>
      <c r="W523" s="21"/>
      <c r="Y523" s="21"/>
    </row>
    <row r="524" spans="1:25" s="14" customFormat="1" ht="19.5" customHeight="1" x14ac:dyDescent="0.25">
      <c r="A524" s="157"/>
      <c r="B524" s="14" t="s">
        <v>3</v>
      </c>
      <c r="H524" s="105" t="s">
        <v>192</v>
      </c>
      <c r="I524" s="22"/>
      <c r="J524" s="20" t="s">
        <v>475</v>
      </c>
      <c r="U524" s="44"/>
      <c r="W524" s="21"/>
      <c r="Y524" s="21"/>
    </row>
    <row r="525" spans="1:25" s="14" customFormat="1" ht="18.75" customHeight="1" x14ac:dyDescent="0.25">
      <c r="A525" s="157"/>
      <c r="H525" s="105" t="s">
        <v>192</v>
      </c>
      <c r="I525" s="22"/>
      <c r="J525" s="20">
        <f>J453+J148+J500</f>
        <v>164.26216499999995</v>
      </c>
      <c r="K525" s="14" t="s">
        <v>10</v>
      </c>
      <c r="U525" s="44"/>
      <c r="W525" s="21"/>
      <c r="Y525" s="21"/>
    </row>
    <row r="526" spans="1:25" s="14" customFormat="1" ht="20.25" customHeight="1" x14ac:dyDescent="0.25">
      <c r="A526" s="157"/>
      <c r="B526" s="21" t="s">
        <v>145</v>
      </c>
      <c r="C526" s="21"/>
      <c r="D526" s="21"/>
      <c r="E526" s="21"/>
      <c r="F526" s="21"/>
      <c r="G526" s="21"/>
      <c r="H526" s="150" t="s">
        <v>192</v>
      </c>
      <c r="I526" s="112"/>
      <c r="J526" s="98" t="s">
        <v>476</v>
      </c>
      <c r="K526" s="21"/>
      <c r="L526" s="21"/>
      <c r="M526" s="21"/>
      <c r="U526" s="44"/>
      <c r="W526" s="21"/>
      <c r="Y526" s="21"/>
    </row>
    <row r="527" spans="1:25" s="14" customFormat="1" ht="18" customHeight="1" x14ac:dyDescent="0.25">
      <c r="A527" s="157"/>
      <c r="B527" s="21"/>
      <c r="C527" s="21"/>
      <c r="D527" s="21"/>
      <c r="E527" s="21"/>
      <c r="F527" s="21"/>
      <c r="G527" s="21"/>
      <c r="H527" s="150" t="s">
        <v>192</v>
      </c>
      <c r="I527" s="112"/>
      <c r="J527" s="98">
        <f>J509+J455+J151</f>
        <v>265.70826056461328</v>
      </c>
      <c r="K527" s="21" t="s">
        <v>10</v>
      </c>
      <c r="L527" s="21"/>
      <c r="M527" s="21"/>
      <c r="U527" s="44"/>
      <c r="W527" s="21"/>
      <c r="Y527" s="21"/>
    </row>
    <row r="528" spans="1:25" s="14" customFormat="1" ht="18" customHeight="1" x14ac:dyDescent="0.25">
      <c r="A528" s="157"/>
      <c r="B528" s="21" t="s">
        <v>5</v>
      </c>
      <c r="C528" s="21"/>
      <c r="D528" s="21"/>
      <c r="E528" s="21"/>
      <c r="F528" s="21"/>
      <c r="G528" s="21"/>
      <c r="H528" s="150" t="s">
        <v>192</v>
      </c>
      <c r="I528" s="112"/>
      <c r="J528" s="98" t="s">
        <v>477</v>
      </c>
      <c r="K528" s="21"/>
      <c r="L528" s="21"/>
      <c r="M528" s="21"/>
      <c r="U528" s="44"/>
      <c r="W528" s="21"/>
      <c r="Y528" s="21"/>
    </row>
    <row r="529" spans="1:25" s="14" customFormat="1" ht="19.5" customHeight="1" x14ac:dyDescent="0.25">
      <c r="A529" s="157"/>
      <c r="B529" s="21"/>
      <c r="C529" s="21"/>
      <c r="D529" s="21"/>
      <c r="E529" s="21"/>
      <c r="F529" s="21"/>
      <c r="G529" s="21"/>
      <c r="H529" s="150" t="s">
        <v>192</v>
      </c>
      <c r="I529" s="112"/>
      <c r="J529" s="98">
        <f>J525+J527</f>
        <v>429.97042556461327</v>
      </c>
      <c r="K529" s="21" t="s">
        <v>10</v>
      </c>
      <c r="L529" s="21"/>
      <c r="M529" s="21"/>
      <c r="U529" s="44"/>
      <c r="W529" s="21"/>
      <c r="Y529" s="21"/>
    </row>
  </sheetData>
  <mergeCells count="63">
    <mergeCell ref="B483:M483"/>
    <mergeCell ref="B492:M492"/>
    <mergeCell ref="B501:M501"/>
    <mergeCell ref="J506:K506"/>
    <mergeCell ref="J511:K511"/>
    <mergeCell ref="J508:K508"/>
    <mergeCell ref="J485:K485"/>
    <mergeCell ref="J488:K488"/>
    <mergeCell ref="J494:K494"/>
    <mergeCell ref="J497:K497"/>
    <mergeCell ref="J503:K503"/>
    <mergeCell ref="J273:M273"/>
    <mergeCell ref="B19:G19"/>
    <mergeCell ref="B46:F46"/>
    <mergeCell ref="B67:F67"/>
    <mergeCell ref="B371:F371"/>
    <mergeCell ref="B338:F339"/>
    <mergeCell ref="B195:F195"/>
    <mergeCell ref="B241:F241"/>
    <mergeCell ref="B273:F273"/>
    <mergeCell ref="B104:F104"/>
    <mergeCell ref="B229:G229"/>
    <mergeCell ref="B72:G72"/>
    <mergeCell ref="B132:G132"/>
    <mergeCell ref="B301:F301"/>
    <mergeCell ref="B347:F347"/>
    <mergeCell ref="J218:M218"/>
    <mergeCell ref="J55:M55"/>
    <mergeCell ref="J56:M56"/>
    <mergeCell ref="J61:M61"/>
    <mergeCell ref="J63:M63"/>
    <mergeCell ref="J105:M105"/>
    <mergeCell ref="J104:M104"/>
    <mergeCell ref="J140:M140"/>
    <mergeCell ref="B206:M206"/>
    <mergeCell ref="J214:M214"/>
    <mergeCell ref="J217:M217"/>
    <mergeCell ref="B110:G110"/>
    <mergeCell ref="B167:F167"/>
    <mergeCell ref="K106:M107"/>
    <mergeCell ref="J479:K479"/>
    <mergeCell ref="J515:M515"/>
    <mergeCell ref="J306:M306"/>
    <mergeCell ref="B344:M344"/>
    <mergeCell ref="B360:G360"/>
    <mergeCell ref="K390:M390"/>
    <mergeCell ref="B514:M514"/>
    <mergeCell ref="K445:L445"/>
    <mergeCell ref="B349:F349"/>
    <mergeCell ref="B336:F336"/>
    <mergeCell ref="B351:F351"/>
    <mergeCell ref="J323:M323"/>
    <mergeCell ref="J324:M324"/>
    <mergeCell ref="B390:F390"/>
    <mergeCell ref="B415:F415"/>
    <mergeCell ref="J476:K476"/>
    <mergeCell ref="J381:K381"/>
    <mergeCell ref="B373:M373"/>
    <mergeCell ref="B361:F361"/>
    <mergeCell ref="B279:G279"/>
    <mergeCell ref="J463:K463"/>
    <mergeCell ref="J468:K468"/>
    <mergeCell ref="J471:K471"/>
  </mergeCells>
  <pageMargins left="0.6692913385826772" right="0.55118110236220474" top="0.74803149606299213" bottom="0.74803149606299213" header="0.31496062992125984" footer="0.31496062992125984"/>
  <pageSetup paperSize="9" scale="90" firstPageNumber="10" orientation="portrait" useFirstPageNumber="1" horizontalDpi="300" verticalDpi="300" r:id="rId1"/>
  <headerFooter>
    <oddHeader xml:space="preserve">&amp;L&amp;"Times New Roman,Regular"           100 MLD Capacity Sewage Treatment Plant at Hebbal for BWSSB, Bangalore&amp;R
</oddHeader>
    <oddFooter>&amp;L&amp;"Times New Roman,Italic"Enviro Control Associates (I) Pvt. Ltd.&amp;R&amp;P of 59</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23"/>
  <sheetViews>
    <sheetView topLeftCell="A10" zoomScale="112" zoomScaleNormal="112" workbookViewId="0">
      <selection activeCell="F11" sqref="F11"/>
    </sheetView>
  </sheetViews>
  <sheetFormatPr defaultRowHeight="15" x14ac:dyDescent="0.25"/>
  <cols>
    <col min="1" max="1" width="11.140625" customWidth="1"/>
    <col min="2" max="2" width="8.28515625" customWidth="1"/>
    <col min="3" max="3" width="8.42578125" customWidth="1"/>
    <col min="8" max="8" width="9.5703125" bestFit="1" customWidth="1"/>
    <col min="9" max="9" width="10.5703125" bestFit="1" customWidth="1"/>
    <col min="14" max="14" width="10.7109375" customWidth="1"/>
    <col min="16" max="16" width="10.7109375" customWidth="1"/>
    <col min="17" max="17" width="6.140625" customWidth="1"/>
    <col min="20" max="20" width="9.140625" style="184"/>
  </cols>
  <sheetData>
    <row r="2" spans="1:21" ht="41.25" customHeight="1" x14ac:dyDescent="0.25">
      <c r="A2" s="236" t="s">
        <v>72</v>
      </c>
      <c r="B2" s="237"/>
      <c r="C2" s="237"/>
      <c r="D2" s="237"/>
      <c r="E2" s="237"/>
      <c r="F2" s="237"/>
      <c r="G2" s="237"/>
      <c r="H2" s="237"/>
      <c r="I2" s="237"/>
      <c r="J2" s="238"/>
      <c r="K2" s="11"/>
      <c r="L2" s="10"/>
      <c r="M2" s="10"/>
    </row>
    <row r="3" spans="1:21" ht="45" x14ac:dyDescent="0.25">
      <c r="A3" s="1"/>
      <c r="B3" s="232" t="s">
        <v>74</v>
      </c>
      <c r="C3" s="233"/>
      <c r="D3" s="5" t="s">
        <v>35</v>
      </c>
      <c r="E3" s="8" t="s">
        <v>34</v>
      </c>
      <c r="F3" s="209" t="s">
        <v>479</v>
      </c>
      <c r="G3" s="232" t="s">
        <v>28</v>
      </c>
      <c r="H3" s="233"/>
      <c r="I3" s="232" t="s">
        <v>36</v>
      </c>
      <c r="J3" s="233"/>
      <c r="K3" s="187" t="s">
        <v>325</v>
      </c>
    </row>
    <row r="4" spans="1:21" s="60" customFormat="1" ht="32.25" x14ac:dyDescent="0.25">
      <c r="A4" s="61" t="s">
        <v>75</v>
      </c>
      <c r="B4" s="227">
        <f>100*1000</f>
        <v>100000</v>
      </c>
      <c r="C4" s="228"/>
      <c r="D4" s="58">
        <f>B4-E4</f>
        <v>82000</v>
      </c>
      <c r="E4" s="58">
        <v>18000</v>
      </c>
      <c r="F4" s="210">
        <f>(F6/(1.03*40))</f>
        <v>477.66990291262135</v>
      </c>
      <c r="G4" s="229">
        <f>D4-((D6-H6)/(1.03*40))</f>
        <v>81522.330097087382</v>
      </c>
      <c r="H4" s="231"/>
      <c r="I4" s="229">
        <f>G4+E4</f>
        <v>99522.330097087382</v>
      </c>
      <c r="J4" s="231"/>
      <c r="K4" s="60">
        <v>99.522000000000006</v>
      </c>
      <c r="T4" s="184"/>
    </row>
    <row r="5" spans="1:21" ht="30" x14ac:dyDescent="0.25">
      <c r="A5" s="9" t="s">
        <v>29</v>
      </c>
      <c r="B5" s="5" t="s">
        <v>0</v>
      </c>
      <c r="C5" s="5" t="s">
        <v>1</v>
      </c>
      <c r="D5" s="4" t="s">
        <v>0</v>
      </c>
      <c r="E5" s="6" t="s">
        <v>0</v>
      </c>
      <c r="F5" s="6" t="s">
        <v>0</v>
      </c>
      <c r="G5" s="8" t="s">
        <v>6</v>
      </c>
      <c r="H5" s="6" t="s">
        <v>0</v>
      </c>
      <c r="I5" s="4" t="s">
        <v>0</v>
      </c>
      <c r="J5" s="5" t="s">
        <v>1</v>
      </c>
    </row>
    <row r="6" spans="1:21" x14ac:dyDescent="0.25">
      <c r="A6" s="1" t="s">
        <v>2</v>
      </c>
      <c r="B6" s="51">
        <f>400*(B4/1000)</f>
        <v>40000</v>
      </c>
      <c r="C6" s="51">
        <v>400</v>
      </c>
      <c r="D6" s="54">
        <f>C6*(D4/1000)</f>
        <v>32800</v>
      </c>
      <c r="E6" s="54">
        <f>B6-D6</f>
        <v>7200</v>
      </c>
      <c r="F6" s="54">
        <f>D6*G6/100</f>
        <v>19680</v>
      </c>
      <c r="G6" s="51">
        <v>60</v>
      </c>
      <c r="H6" s="54">
        <f>D6*(1-G6/100)</f>
        <v>13120</v>
      </c>
      <c r="I6" s="54">
        <f>H6+E6</f>
        <v>20320</v>
      </c>
      <c r="J6" s="53">
        <f>I6/(I4/1000)</f>
        <v>204.17528388028251</v>
      </c>
      <c r="K6">
        <v>205</v>
      </c>
    </row>
    <row r="7" spans="1:21" ht="18" x14ac:dyDescent="0.35">
      <c r="A7" s="1" t="s">
        <v>76</v>
      </c>
      <c r="B7" s="51">
        <f>350*(B4/1000)</f>
        <v>35000</v>
      </c>
      <c r="C7" s="51">
        <v>350</v>
      </c>
      <c r="D7" s="54">
        <f>C7*(D4/1000)</f>
        <v>28700</v>
      </c>
      <c r="E7" s="54">
        <f t="shared" ref="E7:E9" si="0">B7-D7</f>
        <v>6300</v>
      </c>
      <c r="F7" s="54">
        <f t="shared" ref="F7:F10" si="1">D7*G7/100</f>
        <v>10045</v>
      </c>
      <c r="G7" s="51">
        <v>35</v>
      </c>
      <c r="H7" s="51">
        <f>D7*(1-G7/100)</f>
        <v>18655</v>
      </c>
      <c r="I7" s="54">
        <f t="shared" ref="I7:I10" si="2">H7+E7</f>
        <v>24955</v>
      </c>
      <c r="J7" s="53">
        <f>I7/(I4/1000)</f>
        <v>250.74774651734501</v>
      </c>
      <c r="K7" s="65">
        <v>250.8</v>
      </c>
    </row>
    <row r="8" spans="1:21" x14ac:dyDescent="0.25">
      <c r="A8" s="1" t="s">
        <v>4</v>
      </c>
      <c r="B8" s="51">
        <f>7*(B4/1000)</f>
        <v>700</v>
      </c>
      <c r="C8" s="51">
        <v>7</v>
      </c>
      <c r="D8" s="54">
        <f>C8*(D4/1000)</f>
        <v>574</v>
      </c>
      <c r="E8" s="54">
        <f t="shared" si="0"/>
        <v>126</v>
      </c>
      <c r="F8" s="55">
        <f t="shared" si="1"/>
        <v>57.4</v>
      </c>
      <c r="G8" s="51">
        <v>10</v>
      </c>
      <c r="H8" s="53">
        <f>D8*(1-G8/100)</f>
        <v>516.6</v>
      </c>
      <c r="I8" s="53">
        <f t="shared" si="2"/>
        <v>642.6</v>
      </c>
      <c r="J8" s="53">
        <f>I8/(I4/1000)</f>
        <v>6.4568423927888556</v>
      </c>
      <c r="K8">
        <v>6.5</v>
      </c>
    </row>
    <row r="9" spans="1:21" ht="18" x14ac:dyDescent="0.35">
      <c r="A9" s="1" t="s">
        <v>77</v>
      </c>
      <c r="B9" s="51">
        <f>C9*(B4/1000)</f>
        <v>5000</v>
      </c>
      <c r="C9" s="51">
        <v>50</v>
      </c>
      <c r="D9" s="54">
        <f>C9*(D4/1000)</f>
        <v>4100</v>
      </c>
      <c r="E9" s="54">
        <f t="shared" si="0"/>
        <v>900</v>
      </c>
      <c r="F9" s="54">
        <f t="shared" si="1"/>
        <v>0</v>
      </c>
      <c r="G9" s="51">
        <v>0</v>
      </c>
      <c r="H9" s="54">
        <f>D9*(1-G9/100)</f>
        <v>4100</v>
      </c>
      <c r="I9" s="54">
        <f t="shared" si="2"/>
        <v>5000</v>
      </c>
      <c r="J9" s="53">
        <f>I9/(I4/1000)</f>
        <v>50.239981269754558</v>
      </c>
      <c r="K9">
        <v>50.3</v>
      </c>
    </row>
    <row r="10" spans="1:21" x14ac:dyDescent="0.25">
      <c r="A10" s="1" t="s">
        <v>3</v>
      </c>
      <c r="B10" s="51">
        <v>1000</v>
      </c>
      <c r="C10" s="51">
        <v>10</v>
      </c>
      <c r="D10" s="54">
        <f>C10*D4/1000</f>
        <v>820</v>
      </c>
      <c r="E10" s="54">
        <f>C10*E4/1000</f>
        <v>180</v>
      </c>
      <c r="F10" s="54">
        <f t="shared" si="1"/>
        <v>328</v>
      </c>
      <c r="G10" s="51">
        <v>40</v>
      </c>
      <c r="H10" s="54">
        <f>D10*(1-G10/100)</f>
        <v>492</v>
      </c>
      <c r="I10" s="54">
        <f t="shared" si="2"/>
        <v>672</v>
      </c>
      <c r="J10" s="53">
        <f>I10/(I4/1000)</f>
        <v>6.7522534826550125</v>
      </c>
      <c r="K10">
        <v>6.75</v>
      </c>
    </row>
    <row r="11" spans="1:21" x14ac:dyDescent="0.25">
      <c r="A11" s="1" t="s">
        <v>5</v>
      </c>
      <c r="B11" s="51">
        <f>B9+B10</f>
        <v>6000</v>
      </c>
      <c r="C11" s="51">
        <f t="shared" ref="C11:I11" si="3">C9+C10</f>
        <v>60</v>
      </c>
      <c r="D11" s="51">
        <f t="shared" si="3"/>
        <v>4920</v>
      </c>
      <c r="E11" s="51">
        <f t="shared" si="3"/>
        <v>1080</v>
      </c>
      <c r="F11" s="51">
        <f t="shared" si="3"/>
        <v>328</v>
      </c>
      <c r="G11" s="51"/>
      <c r="H11" s="51">
        <f t="shared" si="3"/>
        <v>4592</v>
      </c>
      <c r="I11" s="51">
        <f t="shared" si="3"/>
        <v>5672</v>
      </c>
      <c r="J11" s="53">
        <f>J9+J10</f>
        <v>56.992234752409573</v>
      </c>
      <c r="K11">
        <v>57</v>
      </c>
    </row>
    <row r="14" spans="1:21" ht="26.25" customHeight="1" x14ac:dyDescent="0.25">
      <c r="A14" s="240" t="s">
        <v>450</v>
      </c>
      <c r="B14" s="240"/>
      <c r="C14" s="240"/>
      <c r="D14" s="240"/>
      <c r="E14" s="240"/>
      <c r="F14" s="240"/>
      <c r="G14" s="240"/>
      <c r="H14" s="240"/>
      <c r="I14" s="240"/>
      <c r="J14" s="240"/>
      <c r="K14" s="240"/>
      <c r="L14" s="240"/>
      <c r="M14" s="240"/>
      <c r="N14" s="240"/>
    </row>
    <row r="15" spans="1:21" ht="60" customHeight="1" x14ac:dyDescent="0.25">
      <c r="A15" s="1"/>
      <c r="B15" s="232" t="s">
        <v>74</v>
      </c>
      <c r="C15" s="233"/>
      <c r="D15" s="7" t="s">
        <v>32</v>
      </c>
      <c r="E15" s="232" t="s">
        <v>30</v>
      </c>
      <c r="F15" s="241"/>
      <c r="G15" s="8" t="s">
        <v>35</v>
      </c>
      <c r="H15" s="8" t="s">
        <v>34</v>
      </c>
      <c r="I15" s="209" t="s">
        <v>479</v>
      </c>
      <c r="J15" s="239" t="s">
        <v>28</v>
      </c>
      <c r="K15" s="239"/>
      <c r="L15" s="232" t="s">
        <v>36</v>
      </c>
      <c r="M15" s="233"/>
      <c r="N15" s="66" t="s">
        <v>367</v>
      </c>
      <c r="R15" t="s">
        <v>331</v>
      </c>
      <c r="T15" s="184">
        <v>1.86</v>
      </c>
    </row>
    <row r="16" spans="1:21" s="60" customFormat="1" ht="32.25" x14ac:dyDescent="0.25">
      <c r="A16" s="61" t="s">
        <v>75</v>
      </c>
      <c r="B16" s="227">
        <f>100*1000</f>
        <v>100000</v>
      </c>
      <c r="C16" s="228"/>
      <c r="D16" s="124">
        <v>4100</v>
      </c>
      <c r="E16" s="234">
        <f>B16+D16</f>
        <v>104100</v>
      </c>
      <c r="F16" s="235"/>
      <c r="G16" s="59">
        <f>E16-H16</f>
        <v>87600</v>
      </c>
      <c r="H16" s="58">
        <v>16500</v>
      </c>
      <c r="I16" s="210">
        <f>(I18/(1.03*40))</f>
        <v>543.44953246971261</v>
      </c>
      <c r="J16" s="229">
        <f>G16-((G18-K18)/(1.03*40))</f>
        <v>87056.550467530295</v>
      </c>
      <c r="K16" s="230"/>
      <c r="L16" s="229">
        <f>J16+H16</f>
        <v>103556.55046753029</v>
      </c>
      <c r="M16" s="231"/>
      <c r="N16" s="203">
        <v>103600</v>
      </c>
      <c r="R16" s="60" t="s">
        <v>14</v>
      </c>
      <c r="T16" s="198">
        <f>F19</f>
        <v>352.6323727185399</v>
      </c>
      <c r="U16" s="60" t="s">
        <v>18</v>
      </c>
    </row>
    <row r="17" spans="1:21" ht="30" x14ac:dyDescent="0.25">
      <c r="A17" s="9" t="s">
        <v>29</v>
      </c>
      <c r="B17" s="50" t="s">
        <v>0</v>
      </c>
      <c r="C17" s="50" t="s">
        <v>1</v>
      </c>
      <c r="D17" s="3" t="s">
        <v>0</v>
      </c>
      <c r="E17" s="6" t="s">
        <v>0</v>
      </c>
      <c r="F17" s="49" t="s">
        <v>1</v>
      </c>
      <c r="G17" s="6" t="s">
        <v>0</v>
      </c>
      <c r="H17" s="6" t="s">
        <v>0</v>
      </c>
      <c r="I17" s="6" t="s">
        <v>0</v>
      </c>
      <c r="J17" s="50" t="s">
        <v>6</v>
      </c>
      <c r="K17" s="6" t="s">
        <v>0</v>
      </c>
      <c r="L17" s="6" t="s">
        <v>0</v>
      </c>
      <c r="M17" s="50" t="s">
        <v>1</v>
      </c>
      <c r="N17" s="202" t="s">
        <v>1</v>
      </c>
      <c r="R17" t="s">
        <v>332</v>
      </c>
      <c r="T17" s="198">
        <f>T15*T16</f>
        <v>655.8962132564842</v>
      </c>
      <c r="U17" s="60" t="s">
        <v>18</v>
      </c>
    </row>
    <row r="18" spans="1:21" x14ac:dyDescent="0.25">
      <c r="A18" s="1" t="s">
        <v>2</v>
      </c>
      <c r="B18" s="51">
        <f>400*(B16/1000)</f>
        <v>40000</v>
      </c>
      <c r="C18" s="51">
        <v>400</v>
      </c>
      <c r="D18" s="52">
        <v>4345.7299999999996</v>
      </c>
      <c r="E18" s="53">
        <f t="shared" ref="E18:E23" si="4">B18+D18</f>
        <v>44345.729999999996</v>
      </c>
      <c r="F18" s="185">
        <f>E18/(E16/1000)</f>
        <v>425.99164265129679</v>
      </c>
      <c r="G18" s="54">
        <f>F18*(G16/1000)</f>
        <v>37316.8678962536</v>
      </c>
      <c r="H18" s="53">
        <f t="shared" ref="H18:H23" si="5">E18-G18</f>
        <v>7028.8621037463963</v>
      </c>
      <c r="I18" s="54">
        <f>G18*J18/100</f>
        <v>22390.12073775216</v>
      </c>
      <c r="J18" s="51">
        <v>60</v>
      </c>
      <c r="K18" s="53">
        <f>G18*(1-J18/100)</f>
        <v>14926.747158501441</v>
      </c>
      <c r="L18" s="53">
        <f t="shared" ref="L18:L23" si="6">K18+H18</f>
        <v>21955.609262247839</v>
      </c>
      <c r="M18" s="53">
        <f>L18/(L16/1000)</f>
        <v>212.01564906443966</v>
      </c>
      <c r="N18" s="51">
        <v>212</v>
      </c>
      <c r="O18" s="184" t="s">
        <v>323</v>
      </c>
      <c r="P18" s="79">
        <f>T22</f>
        <v>462.9096611111903</v>
      </c>
      <c r="R18" t="s">
        <v>333</v>
      </c>
      <c r="T18" s="184">
        <f>H16/1000</f>
        <v>16.5</v>
      </c>
      <c r="U18" t="s">
        <v>20</v>
      </c>
    </row>
    <row r="19" spans="1:21" ht="18" x14ac:dyDescent="0.35">
      <c r="A19" s="1" t="s">
        <v>76</v>
      </c>
      <c r="B19" s="51">
        <f>350*(B16/1000)</f>
        <v>35000</v>
      </c>
      <c r="C19" s="51">
        <v>350</v>
      </c>
      <c r="D19" s="52">
        <v>1709.03</v>
      </c>
      <c r="E19" s="53">
        <f t="shared" si="4"/>
        <v>36709.03</v>
      </c>
      <c r="F19" s="52">
        <f>E19/(E16/1000)</f>
        <v>352.6323727185399</v>
      </c>
      <c r="G19" s="54">
        <f>F19*(G16/1000)</f>
        <v>30890.595850144095</v>
      </c>
      <c r="H19" s="53">
        <f t="shared" si="5"/>
        <v>5818.4341498559043</v>
      </c>
      <c r="I19" s="54">
        <f>G19*J19/100</f>
        <v>10811.708547550434</v>
      </c>
      <c r="J19" s="51">
        <v>35</v>
      </c>
      <c r="K19" s="53">
        <f>G19*(1-J19/100)</f>
        <v>20078.887302593663</v>
      </c>
      <c r="L19" s="53">
        <f t="shared" si="6"/>
        <v>25897.321452449567</v>
      </c>
      <c r="M19" s="53">
        <f>L19/(L16/1000)</f>
        <v>250.07902769578595</v>
      </c>
      <c r="N19" s="51">
        <v>250</v>
      </c>
      <c r="R19" t="s">
        <v>334</v>
      </c>
      <c r="T19" s="184">
        <f>T17*T18</f>
        <v>10822.28751873199</v>
      </c>
      <c r="U19" t="s">
        <v>10</v>
      </c>
    </row>
    <row r="20" spans="1:21" x14ac:dyDescent="0.25">
      <c r="A20" s="1" t="s">
        <v>4</v>
      </c>
      <c r="B20" s="51">
        <f>7*(B16/1000)</f>
        <v>700</v>
      </c>
      <c r="C20" s="51">
        <v>7</v>
      </c>
      <c r="D20" s="52">
        <v>78.02</v>
      </c>
      <c r="E20" s="53">
        <f>B20+D20</f>
        <v>778.02</v>
      </c>
      <c r="F20" s="52">
        <f>E20/(E16/1000)</f>
        <v>7.4737752161383284</v>
      </c>
      <c r="G20" s="54">
        <f>F20*(G16/1000)</f>
        <v>654.70270893371753</v>
      </c>
      <c r="H20" s="53">
        <f t="shared" si="5"/>
        <v>123.31729106628245</v>
      </c>
      <c r="I20" s="55">
        <f>G20*J20/100</f>
        <v>65.470270893371747</v>
      </c>
      <c r="J20" s="51">
        <v>10</v>
      </c>
      <c r="K20" s="53">
        <f>G20*(1-J20/100)</f>
        <v>589.23243804034576</v>
      </c>
      <c r="L20" s="53">
        <f t="shared" si="6"/>
        <v>712.54972910662821</v>
      </c>
      <c r="M20" s="53">
        <f>L20/(L16/1000)</f>
        <v>6.8807789163472091</v>
      </c>
      <c r="N20" s="53">
        <v>6.88</v>
      </c>
      <c r="R20" t="s">
        <v>335</v>
      </c>
      <c r="T20" s="184">
        <f>0.65*T17*(J16/1000)</f>
        <v>37115.040164036342</v>
      </c>
      <c r="U20" t="s">
        <v>10</v>
      </c>
    </row>
    <row r="21" spans="1:21" ht="18" x14ac:dyDescent="0.35">
      <c r="A21" s="1" t="s">
        <v>77</v>
      </c>
      <c r="B21" s="51">
        <f>C21*(B16/1000)</f>
        <v>5000</v>
      </c>
      <c r="C21" s="51">
        <v>50</v>
      </c>
      <c r="D21" s="53">
        <v>265.70999999999998</v>
      </c>
      <c r="E21" s="53">
        <f t="shared" si="4"/>
        <v>5265.71</v>
      </c>
      <c r="F21" s="52">
        <f>E21/(E16/1000)</f>
        <v>50.583189241114319</v>
      </c>
      <c r="G21" s="55">
        <f>F21*(G16/1000)</f>
        <v>4431.0873775216141</v>
      </c>
      <c r="H21" s="53">
        <f t="shared" si="5"/>
        <v>834.62262247838589</v>
      </c>
      <c r="I21" s="54">
        <f t="shared" ref="I21" si="7">G21*J21/100</f>
        <v>0</v>
      </c>
      <c r="J21" s="51">
        <v>0</v>
      </c>
      <c r="K21" s="53">
        <f>G21*(1-J21/100)</f>
        <v>4431.0873775216141</v>
      </c>
      <c r="L21" s="53">
        <f t="shared" si="6"/>
        <v>5265.71</v>
      </c>
      <c r="M21" s="53">
        <f>L21/(L16/1000)</f>
        <v>50.848642371986308</v>
      </c>
      <c r="N21" s="208">
        <v>50.9</v>
      </c>
      <c r="R21" t="s">
        <v>353</v>
      </c>
      <c r="T21" s="184">
        <f>T19+T20</f>
        <v>47937.327682768329</v>
      </c>
      <c r="U21" t="s">
        <v>10</v>
      </c>
    </row>
    <row r="22" spans="1:21" x14ac:dyDescent="0.25">
      <c r="A22" s="1" t="s">
        <v>3</v>
      </c>
      <c r="B22" s="51">
        <f>C22*(B16/1000)</f>
        <v>1000</v>
      </c>
      <c r="C22" s="51">
        <v>10</v>
      </c>
      <c r="D22" s="53">
        <v>164.26</v>
      </c>
      <c r="E22" s="53">
        <f>B22+D22</f>
        <v>1164.26</v>
      </c>
      <c r="F22" s="52">
        <f>E22/(E16/1000)</f>
        <v>11.184053794428435</v>
      </c>
      <c r="G22" s="55">
        <f>F22*(G16/1000)</f>
        <v>979.72311239193084</v>
      </c>
      <c r="H22" s="53">
        <f t="shared" si="5"/>
        <v>184.53688760806915</v>
      </c>
      <c r="I22" s="54">
        <f>G22*J22/100</f>
        <v>391.8892449567723</v>
      </c>
      <c r="J22" s="51">
        <v>40</v>
      </c>
      <c r="K22" s="53">
        <f>G22*(1-J22/100)</f>
        <v>587.83386743515848</v>
      </c>
      <c r="L22" s="53">
        <f t="shared" si="6"/>
        <v>772.37075504322763</v>
      </c>
      <c r="M22" s="53">
        <f>L22/(L16/1000)</f>
        <v>7.4584442177359032</v>
      </c>
      <c r="N22" s="208">
        <v>7.5</v>
      </c>
      <c r="R22" t="s">
        <v>353</v>
      </c>
      <c r="T22" s="198">
        <f>T21/(L16/1000)</f>
        <v>462.9096611111903</v>
      </c>
      <c r="U22" t="s">
        <v>18</v>
      </c>
    </row>
    <row r="23" spans="1:21" x14ac:dyDescent="0.25">
      <c r="A23" s="2" t="s">
        <v>5</v>
      </c>
      <c r="B23" s="51">
        <f>C23*(B16/1000)</f>
        <v>6000</v>
      </c>
      <c r="C23" s="56">
        <v>60</v>
      </c>
      <c r="D23" s="53">
        <f>D21+D22</f>
        <v>429.96999999999997</v>
      </c>
      <c r="E23" s="53">
        <f t="shared" si="4"/>
        <v>6429.97</v>
      </c>
      <c r="F23" s="52">
        <f>E23/(E16/1000)</f>
        <v>61.767243035542755</v>
      </c>
      <c r="G23" s="55">
        <f>F23*(G16/1000)</f>
        <v>5410.8104899135451</v>
      </c>
      <c r="H23" s="53">
        <f t="shared" si="5"/>
        <v>1019.1595100864552</v>
      </c>
      <c r="I23" s="54">
        <f>I21+I22</f>
        <v>391.8892449567723</v>
      </c>
      <c r="J23" s="51"/>
      <c r="K23" s="53">
        <f>K21+K22</f>
        <v>5018.9212449567731</v>
      </c>
      <c r="L23" s="53">
        <f t="shared" si="6"/>
        <v>6038.0807550432282</v>
      </c>
      <c r="M23" s="53">
        <f>L23/(L16/1000)</f>
        <v>58.307086589722218</v>
      </c>
      <c r="N23" s="208">
        <f>N22+N21</f>
        <v>58.4</v>
      </c>
    </row>
  </sheetData>
  <mergeCells count="16">
    <mergeCell ref="A2:J2"/>
    <mergeCell ref="G3:H3"/>
    <mergeCell ref="G4:H4"/>
    <mergeCell ref="B15:C15"/>
    <mergeCell ref="J15:K15"/>
    <mergeCell ref="B4:C4"/>
    <mergeCell ref="I4:J4"/>
    <mergeCell ref="B3:C3"/>
    <mergeCell ref="I3:J3"/>
    <mergeCell ref="A14:N14"/>
    <mergeCell ref="E15:F15"/>
    <mergeCell ref="B16:C16"/>
    <mergeCell ref="J16:K16"/>
    <mergeCell ref="L16:M16"/>
    <mergeCell ref="L15:M15"/>
    <mergeCell ref="E16:F16"/>
  </mergeCells>
  <pageMargins left="1.299212598425197" right="0.70866141732283472" top="0.74803149606299213" bottom="0.74803149606299213" header="0.31496062992125984" footer="0.31496062992125984"/>
  <pageSetup paperSize="9" orientation="landscape" horizontalDpi="300" verticalDpi="300" r:id="rId1"/>
  <headerFooter>
    <oddHeader>&amp;C100 MLD Capacity STP at Hebbal, BWSSB</oddHeader>
    <oddFooter>&amp;LEnviro Control Associates (I) Pvt. Ltd.&amp;R&amp;P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74"/>
  <sheetViews>
    <sheetView topLeftCell="A91" workbookViewId="0">
      <selection activeCell="E40" sqref="E40"/>
    </sheetView>
  </sheetViews>
  <sheetFormatPr defaultRowHeight="15" x14ac:dyDescent="0.25"/>
  <cols>
    <col min="3" max="3" width="17.85546875" customWidth="1"/>
    <col min="5" max="5" width="6.85546875" customWidth="1"/>
    <col min="6" max="6" width="9.140625" style="65"/>
    <col min="14" max="14" width="11.5703125" customWidth="1"/>
    <col min="15" max="15" width="11.140625" customWidth="1"/>
    <col min="16" max="16" width="11" customWidth="1"/>
    <col min="19" max="19" width="13.28515625" customWidth="1"/>
    <col min="21" max="21" width="1.5703125" customWidth="1"/>
    <col min="22" max="22" width="10" customWidth="1"/>
  </cols>
  <sheetData>
    <row r="2" spans="1:22" x14ac:dyDescent="0.25">
      <c r="A2" t="s">
        <v>19</v>
      </c>
      <c r="E2" t="s">
        <v>7</v>
      </c>
      <c r="F2" s="65">
        <v>60</v>
      </c>
      <c r="G2" t="s">
        <v>20</v>
      </c>
    </row>
    <row r="3" spans="1:22" x14ac:dyDescent="0.25">
      <c r="A3" t="s">
        <v>22</v>
      </c>
      <c r="E3" t="s">
        <v>7</v>
      </c>
      <c r="F3" s="65">
        <v>60</v>
      </c>
      <c r="G3" t="s">
        <v>18</v>
      </c>
      <c r="H3">
        <f>F3*F2</f>
        <v>3600</v>
      </c>
      <c r="I3" t="s">
        <v>12</v>
      </c>
    </row>
    <row r="4" spans="1:22" ht="30" x14ac:dyDescent="0.25">
      <c r="A4" t="s">
        <v>15</v>
      </c>
      <c r="E4" t="s">
        <v>7</v>
      </c>
      <c r="F4" s="65">
        <v>7</v>
      </c>
      <c r="G4" t="s">
        <v>18</v>
      </c>
      <c r="H4">
        <f>F4*F2</f>
        <v>420</v>
      </c>
      <c r="I4" t="s">
        <v>12</v>
      </c>
      <c r="N4" s="64" t="s">
        <v>80</v>
      </c>
      <c r="O4" s="244" t="s">
        <v>81</v>
      </c>
      <c r="P4" s="244"/>
      <c r="Q4" s="244" t="s">
        <v>82</v>
      </c>
      <c r="R4" s="244"/>
      <c r="S4" s="64" t="s">
        <v>83</v>
      </c>
      <c r="T4" s="244" t="s">
        <v>84</v>
      </c>
      <c r="U4" s="244"/>
      <c r="V4" s="66" t="s">
        <v>85</v>
      </c>
    </row>
    <row r="5" spans="1:22" x14ac:dyDescent="0.25">
      <c r="A5" t="s">
        <v>14</v>
      </c>
      <c r="E5" t="s">
        <v>7</v>
      </c>
      <c r="F5" s="65">
        <v>350</v>
      </c>
      <c r="G5" t="s">
        <v>18</v>
      </c>
      <c r="H5">
        <f>F5*F2</f>
        <v>21000</v>
      </c>
      <c r="I5" t="s">
        <v>12</v>
      </c>
      <c r="N5" s="64" t="s">
        <v>86</v>
      </c>
      <c r="O5" s="245">
        <v>60</v>
      </c>
      <c r="P5" s="245"/>
      <c r="Q5" s="246">
        <f>R7/(40*1.03)/1000</f>
        <v>0.34951456310679613</v>
      </c>
      <c r="R5" s="246"/>
      <c r="S5" s="67">
        <f>O5-Q5</f>
        <v>59.650485436893206</v>
      </c>
      <c r="T5" s="247">
        <f>T7/(8*1.02)/1000</f>
        <v>0.79963235294117652</v>
      </c>
      <c r="U5" s="247"/>
      <c r="V5" s="68">
        <f>V7/(20*1.025)/1000</f>
        <v>1.0207317073170732</v>
      </c>
    </row>
    <row r="6" spans="1:22" ht="30" x14ac:dyDescent="0.25">
      <c r="A6" t="s">
        <v>13</v>
      </c>
      <c r="E6" t="s">
        <v>7</v>
      </c>
      <c r="F6" s="65">
        <v>400</v>
      </c>
      <c r="G6" t="s">
        <v>18</v>
      </c>
      <c r="H6">
        <f>F6*F2</f>
        <v>24000</v>
      </c>
      <c r="I6" t="s">
        <v>12</v>
      </c>
      <c r="N6" s="69"/>
      <c r="O6" s="64" t="s">
        <v>1</v>
      </c>
      <c r="P6" s="64" t="s">
        <v>0</v>
      </c>
      <c r="Q6" s="64" t="s">
        <v>6</v>
      </c>
      <c r="R6" s="64" t="s">
        <v>0</v>
      </c>
      <c r="S6" s="64" t="s">
        <v>0</v>
      </c>
      <c r="T6" s="232" t="s">
        <v>0</v>
      </c>
      <c r="U6" s="233"/>
      <c r="V6" s="64" t="s">
        <v>0</v>
      </c>
    </row>
    <row r="7" spans="1:22" x14ac:dyDescent="0.25">
      <c r="A7" t="s">
        <v>87</v>
      </c>
      <c r="E7" t="s">
        <v>7</v>
      </c>
      <c r="F7" s="65">
        <v>10</v>
      </c>
      <c r="G7" t="s">
        <v>18</v>
      </c>
      <c r="H7">
        <f>F7*F3</f>
        <v>600</v>
      </c>
      <c r="I7" t="s">
        <v>12</v>
      </c>
      <c r="N7" s="1" t="s">
        <v>2</v>
      </c>
      <c r="O7" s="1">
        <v>400</v>
      </c>
      <c r="P7" s="1">
        <f>O7*O5</f>
        <v>24000</v>
      </c>
      <c r="Q7" s="51">
        <v>60</v>
      </c>
      <c r="R7" s="1">
        <f>(Q7/100)*P7</f>
        <v>14400</v>
      </c>
      <c r="S7" s="1">
        <f>P7-R7</f>
        <v>9600</v>
      </c>
      <c r="T7" s="242">
        <v>6525</v>
      </c>
      <c r="U7" s="243"/>
      <c r="V7" s="70">
        <f>R7+T7</f>
        <v>20925</v>
      </c>
    </row>
    <row r="8" spans="1:22" x14ac:dyDescent="0.25">
      <c r="A8" t="s">
        <v>88</v>
      </c>
      <c r="E8" t="s">
        <v>7</v>
      </c>
      <c r="F8" s="65">
        <v>50</v>
      </c>
      <c r="G8" t="s">
        <v>18</v>
      </c>
      <c r="H8">
        <f>F8*F2</f>
        <v>3000</v>
      </c>
      <c r="I8" t="s">
        <v>12</v>
      </c>
      <c r="N8" s="1" t="s">
        <v>89</v>
      </c>
      <c r="O8" s="1">
        <v>350</v>
      </c>
      <c r="P8" s="1">
        <f>O8*O5</f>
        <v>21000</v>
      </c>
      <c r="Q8" s="51">
        <v>35</v>
      </c>
      <c r="R8" s="1">
        <f t="shared" ref="R8:R12" si="0">(Q8/100)*P8</f>
        <v>7349.9999999999991</v>
      </c>
      <c r="S8" s="1">
        <f t="shared" ref="S8:S12" si="1">P8-R8</f>
        <v>13650</v>
      </c>
      <c r="T8" s="242">
        <f>E59</f>
        <v>4098.3285110294119</v>
      </c>
      <c r="U8" s="243"/>
      <c r="V8" s="70">
        <f>R8+T8</f>
        <v>11448.328511029411</v>
      </c>
    </row>
    <row r="9" spans="1:22" x14ac:dyDescent="0.25">
      <c r="N9" s="1" t="s">
        <v>90</v>
      </c>
      <c r="O9" s="1">
        <f>O10-O12</f>
        <v>10</v>
      </c>
      <c r="P9" s="1">
        <f>O9*O5</f>
        <v>600</v>
      </c>
      <c r="Q9" s="51">
        <v>35</v>
      </c>
      <c r="R9" s="1">
        <f>(Q9/100)*P9</f>
        <v>210</v>
      </c>
      <c r="S9" s="1">
        <f>P9-R9</f>
        <v>390</v>
      </c>
      <c r="T9" s="242">
        <f>E39</f>
        <v>636.84</v>
      </c>
      <c r="U9" s="243"/>
      <c r="V9" s="70">
        <f>T9+R9</f>
        <v>846.84</v>
      </c>
    </row>
    <row r="10" spans="1:22" x14ac:dyDescent="0.25">
      <c r="A10" t="s">
        <v>91</v>
      </c>
      <c r="E10" t="s">
        <v>7</v>
      </c>
      <c r="F10" s="65">
        <f>0.6*F2*F6</f>
        <v>14400</v>
      </c>
      <c r="G10" t="s">
        <v>10</v>
      </c>
      <c r="N10" s="1" t="s">
        <v>5</v>
      </c>
      <c r="O10" s="1">
        <v>60</v>
      </c>
      <c r="P10" s="1">
        <f>O5*O10</f>
        <v>3600</v>
      </c>
      <c r="Q10" s="51"/>
      <c r="R10" s="1">
        <f>R9</f>
        <v>210</v>
      </c>
      <c r="S10" s="1">
        <f>P10-R10</f>
        <v>3390</v>
      </c>
      <c r="T10" s="242">
        <f>T12+T9</f>
        <v>636.84</v>
      </c>
      <c r="U10" s="243"/>
      <c r="V10" s="70">
        <f>T10+R10</f>
        <v>846.84</v>
      </c>
    </row>
    <row r="11" spans="1:22" x14ac:dyDescent="0.25">
      <c r="E11" t="s">
        <v>7</v>
      </c>
      <c r="F11" s="71">
        <f>F10/(40*1.03)</f>
        <v>349.51456310679612</v>
      </c>
      <c r="G11" t="s">
        <v>92</v>
      </c>
      <c r="N11" s="1" t="s">
        <v>4</v>
      </c>
      <c r="O11" s="1">
        <v>7</v>
      </c>
      <c r="P11" s="1">
        <f>O11*O5</f>
        <v>420</v>
      </c>
      <c r="Q11" s="51">
        <v>10</v>
      </c>
      <c r="R11" s="1">
        <f t="shared" si="0"/>
        <v>42</v>
      </c>
      <c r="S11" s="1">
        <f t="shared" si="1"/>
        <v>378</v>
      </c>
      <c r="T11" s="242">
        <f>F69</f>
        <v>319.14914691604798</v>
      </c>
      <c r="U11" s="243"/>
      <c r="V11" s="70">
        <f>R11+T11</f>
        <v>361.14914691604798</v>
      </c>
    </row>
    <row r="12" spans="1:22" x14ac:dyDescent="0.25">
      <c r="A12" t="s">
        <v>93</v>
      </c>
      <c r="E12" t="s">
        <v>7</v>
      </c>
      <c r="F12" s="65">
        <v>6525</v>
      </c>
      <c r="G12" t="s">
        <v>10</v>
      </c>
      <c r="N12" s="1" t="s">
        <v>94</v>
      </c>
      <c r="O12" s="1">
        <v>50</v>
      </c>
      <c r="P12" s="1">
        <f>O12*O5</f>
        <v>3000</v>
      </c>
      <c r="Q12" s="51">
        <v>0</v>
      </c>
      <c r="R12" s="1">
        <f t="shared" si="0"/>
        <v>0</v>
      </c>
      <c r="S12" s="1">
        <f t="shared" si="1"/>
        <v>3000</v>
      </c>
      <c r="T12" s="242">
        <v>0</v>
      </c>
      <c r="U12" s="243"/>
      <c r="V12" s="70">
        <f>T12+R12</f>
        <v>0</v>
      </c>
    </row>
    <row r="13" spans="1:22" x14ac:dyDescent="0.25">
      <c r="E13" t="s">
        <v>7</v>
      </c>
      <c r="F13" s="71">
        <f>F12/(8*1.02)</f>
        <v>799.63235294117646</v>
      </c>
      <c r="G13" t="s">
        <v>92</v>
      </c>
      <c r="N13" s="2" t="s">
        <v>95</v>
      </c>
      <c r="O13" s="1"/>
      <c r="P13" s="1"/>
      <c r="Q13" s="1"/>
      <c r="R13" s="1"/>
      <c r="S13" s="1"/>
      <c r="T13" s="242">
        <f>E45</f>
        <v>6.3970588235294121</v>
      </c>
      <c r="U13" s="243"/>
      <c r="V13" s="1"/>
    </row>
    <row r="14" spans="1:22" x14ac:dyDescent="0.25">
      <c r="N14" s="2" t="s">
        <v>16</v>
      </c>
      <c r="O14" s="1"/>
      <c r="P14" s="1"/>
      <c r="Q14" s="1"/>
      <c r="R14" s="1"/>
      <c r="S14" s="1"/>
      <c r="T14" s="242">
        <f>E46</f>
        <v>644.03669117647064</v>
      </c>
      <c r="U14" s="243"/>
      <c r="V14" s="1"/>
    </row>
    <row r="15" spans="1:22" ht="19.5" customHeight="1" x14ac:dyDescent="0.25">
      <c r="A15" s="72" t="s">
        <v>82</v>
      </c>
    </row>
    <row r="16" spans="1:22" x14ac:dyDescent="0.25">
      <c r="A16" t="s">
        <v>96</v>
      </c>
    </row>
    <row r="17" spans="1:19" x14ac:dyDescent="0.25">
      <c r="A17" t="s">
        <v>97</v>
      </c>
    </row>
    <row r="19" spans="1:19" x14ac:dyDescent="0.25">
      <c r="A19" t="s">
        <v>87</v>
      </c>
      <c r="E19" t="s">
        <v>7</v>
      </c>
      <c r="F19" s="65">
        <f>H7</f>
        <v>600</v>
      </c>
      <c r="G19" t="s">
        <v>12</v>
      </c>
    </row>
    <row r="20" spans="1:19" x14ac:dyDescent="0.25">
      <c r="A20" t="s">
        <v>98</v>
      </c>
      <c r="E20" t="s">
        <v>7</v>
      </c>
      <c r="F20" s="65">
        <f>0.35*F19</f>
        <v>210</v>
      </c>
      <c r="G20" t="s">
        <v>12</v>
      </c>
    </row>
    <row r="23" spans="1:19" x14ac:dyDescent="0.25">
      <c r="A23" t="s">
        <v>99</v>
      </c>
    </row>
    <row r="24" spans="1:19" x14ac:dyDescent="0.25">
      <c r="A24" t="s">
        <v>15</v>
      </c>
      <c r="E24" t="s">
        <v>7</v>
      </c>
      <c r="F24" s="65">
        <f>7*F2</f>
        <v>420</v>
      </c>
      <c r="G24" t="s">
        <v>12</v>
      </c>
    </row>
    <row r="25" spans="1:19" x14ac:dyDescent="0.25">
      <c r="A25" t="s">
        <v>23</v>
      </c>
      <c r="E25" t="s">
        <v>7</v>
      </c>
      <c r="F25" s="65">
        <f>0.1*F24</f>
        <v>42</v>
      </c>
      <c r="G25" t="s">
        <v>12</v>
      </c>
      <c r="K25" s="73"/>
      <c r="L25" s="73"/>
      <c r="M25" s="73"/>
      <c r="N25" s="73"/>
      <c r="O25" s="73"/>
      <c r="P25" s="73"/>
      <c r="Q25" s="73"/>
      <c r="R25" s="73"/>
      <c r="S25" s="73"/>
    </row>
    <row r="26" spans="1:19" x14ac:dyDescent="0.25">
      <c r="K26" s="73"/>
      <c r="L26" s="73"/>
      <c r="M26" s="73"/>
      <c r="N26" s="73"/>
      <c r="O26" s="73"/>
      <c r="P26" s="73"/>
      <c r="Q26" s="73"/>
      <c r="R26" s="73"/>
      <c r="S26" s="73"/>
    </row>
    <row r="27" spans="1:19" x14ac:dyDescent="0.25">
      <c r="A27" t="s">
        <v>24</v>
      </c>
      <c r="K27" s="73"/>
      <c r="L27" s="73"/>
      <c r="M27" s="73"/>
      <c r="N27" s="73"/>
      <c r="O27" s="73"/>
      <c r="P27" s="73"/>
      <c r="Q27" s="73"/>
      <c r="R27" s="73"/>
      <c r="S27" s="73"/>
    </row>
    <row r="28" spans="1:19" x14ac:dyDescent="0.25">
      <c r="A28" t="s">
        <v>14</v>
      </c>
      <c r="E28" t="s">
        <v>7</v>
      </c>
      <c r="F28" s="65">
        <f>F2*F5</f>
        <v>21000</v>
      </c>
      <c r="G28" t="s">
        <v>12</v>
      </c>
      <c r="K28" s="73"/>
      <c r="L28" s="73"/>
      <c r="M28" s="73"/>
      <c r="N28" s="73"/>
      <c r="O28" s="73"/>
      <c r="P28" s="73"/>
      <c r="Q28" s="73"/>
      <c r="R28" s="73"/>
      <c r="S28" s="73"/>
    </row>
    <row r="29" spans="1:19" x14ac:dyDescent="0.25">
      <c r="A29" t="s">
        <v>25</v>
      </c>
      <c r="E29" t="s">
        <v>7</v>
      </c>
      <c r="F29" s="65">
        <f>0.35*F28</f>
        <v>7349.9999999999991</v>
      </c>
      <c r="G29" t="s">
        <v>12</v>
      </c>
      <c r="K29" s="73"/>
      <c r="L29" s="73"/>
      <c r="M29" s="73"/>
      <c r="N29" s="73"/>
      <c r="O29" s="73"/>
      <c r="P29" s="73"/>
      <c r="Q29" s="73"/>
      <c r="R29" s="73"/>
      <c r="S29" s="73"/>
    </row>
    <row r="31" spans="1:19" x14ac:dyDescent="0.25">
      <c r="A31" t="s">
        <v>26</v>
      </c>
    </row>
    <row r="32" spans="1:19" x14ac:dyDescent="0.25">
      <c r="A32" t="s">
        <v>13</v>
      </c>
      <c r="E32" t="s">
        <v>7</v>
      </c>
      <c r="F32" s="65">
        <f>F6*F2</f>
        <v>24000</v>
      </c>
      <c r="G32" t="s">
        <v>12</v>
      </c>
    </row>
    <row r="33" spans="1:7" x14ac:dyDescent="0.25">
      <c r="A33" t="s">
        <v>27</v>
      </c>
      <c r="E33" t="s">
        <v>7</v>
      </c>
      <c r="F33" s="65">
        <f>0.6*F32</f>
        <v>14400</v>
      </c>
      <c r="G33" t="s">
        <v>12</v>
      </c>
    </row>
    <row r="35" spans="1:7" x14ac:dyDescent="0.25">
      <c r="A35" s="74" t="s">
        <v>100</v>
      </c>
    </row>
    <row r="36" spans="1:7" x14ac:dyDescent="0.25">
      <c r="A36" s="74"/>
    </row>
    <row r="37" spans="1:7" ht="15.75" x14ac:dyDescent="0.25">
      <c r="A37" s="75" t="s">
        <v>38</v>
      </c>
    </row>
    <row r="38" spans="1:7" x14ac:dyDescent="0.25">
      <c r="A38" t="s">
        <v>101</v>
      </c>
      <c r="D38" t="s">
        <v>7</v>
      </c>
      <c r="E38" t="s">
        <v>21</v>
      </c>
    </row>
    <row r="39" spans="1:7" x14ac:dyDescent="0.25">
      <c r="A39" s="248" t="s">
        <v>102</v>
      </c>
      <c r="B39" s="248"/>
      <c r="C39" s="248"/>
      <c r="D39" s="76" t="s">
        <v>7</v>
      </c>
      <c r="E39" s="77">
        <f>0.122*0.8*F12</f>
        <v>636.84</v>
      </c>
      <c r="F39" s="78" t="s">
        <v>10</v>
      </c>
    </row>
    <row r="40" spans="1:7" ht="18.75" x14ac:dyDescent="0.35">
      <c r="A40" t="s">
        <v>103</v>
      </c>
      <c r="D40" t="s">
        <v>7</v>
      </c>
      <c r="E40" t="s">
        <v>104</v>
      </c>
    </row>
    <row r="41" spans="1:7" x14ac:dyDescent="0.25">
      <c r="D41" t="s">
        <v>7</v>
      </c>
      <c r="E41">
        <f>F13*1</f>
        <v>799.63235294117646</v>
      </c>
      <c r="F41" s="65" t="s">
        <v>105</v>
      </c>
    </row>
    <row r="42" spans="1:7" x14ac:dyDescent="0.25">
      <c r="E42" s="79">
        <f>E41/1000</f>
        <v>0.79963235294117652</v>
      </c>
      <c r="F42" s="65" t="s">
        <v>10</v>
      </c>
      <c r="G42" t="s">
        <v>106</v>
      </c>
    </row>
    <row r="43" spans="1:7" x14ac:dyDescent="0.25">
      <c r="A43" t="s">
        <v>107</v>
      </c>
      <c r="D43" s="60" t="s">
        <v>7</v>
      </c>
      <c r="E43" t="s">
        <v>108</v>
      </c>
    </row>
    <row r="44" spans="1:7" x14ac:dyDescent="0.25">
      <c r="D44" s="60" t="s">
        <v>7</v>
      </c>
      <c r="E44" s="80">
        <f>8*F13</f>
        <v>6397.0588235294117</v>
      </c>
      <c r="F44" s="65" t="s">
        <v>105</v>
      </c>
    </row>
    <row r="45" spans="1:7" x14ac:dyDescent="0.25">
      <c r="D45" s="60" t="s">
        <v>7</v>
      </c>
      <c r="E45" s="79">
        <f>E44/1000</f>
        <v>6.3970588235294121</v>
      </c>
      <c r="F45" s="65" t="s">
        <v>10</v>
      </c>
    </row>
    <row r="46" spans="1:7" x14ac:dyDescent="0.25">
      <c r="A46" t="s">
        <v>16</v>
      </c>
      <c r="D46" s="60" t="s">
        <v>7</v>
      </c>
      <c r="E46" s="79">
        <f>E45+E42+E39</f>
        <v>644.03669117647064</v>
      </c>
      <c r="F46" s="65" t="s">
        <v>10</v>
      </c>
    </row>
    <row r="47" spans="1:7" x14ac:dyDescent="0.25">
      <c r="E47" s="79"/>
    </row>
    <row r="48" spans="1:7" x14ac:dyDescent="0.25">
      <c r="A48" t="s">
        <v>109</v>
      </c>
      <c r="D48" t="s">
        <v>7</v>
      </c>
      <c r="E48" t="s">
        <v>110</v>
      </c>
    </row>
    <row r="49" spans="1:8" x14ac:dyDescent="0.25">
      <c r="E49" s="81">
        <f>0.65*1.42*0.68*F12</f>
        <v>4095.3509999999997</v>
      </c>
      <c r="F49" s="65" t="s">
        <v>10</v>
      </c>
    </row>
    <row r="50" spans="1:8" x14ac:dyDescent="0.25">
      <c r="A50" s="249" t="s">
        <v>111</v>
      </c>
      <c r="B50" s="249"/>
      <c r="C50" s="249"/>
      <c r="D50" s="82" t="s">
        <v>7</v>
      </c>
      <c r="E50" s="248" t="s">
        <v>112</v>
      </c>
      <c r="F50" s="248"/>
      <c r="G50" s="248"/>
      <c r="H50" s="248"/>
    </row>
    <row r="51" spans="1:8" x14ac:dyDescent="0.25">
      <c r="A51" t="s">
        <v>113</v>
      </c>
      <c r="D51" t="s">
        <v>7</v>
      </c>
      <c r="E51" s="248" t="s">
        <v>114</v>
      </c>
      <c r="F51" s="248"/>
      <c r="G51" s="248"/>
      <c r="H51" s="248"/>
    </row>
    <row r="52" spans="1:8" x14ac:dyDescent="0.25">
      <c r="E52" s="248"/>
      <c r="F52" s="248"/>
      <c r="G52" s="248"/>
      <c r="H52" s="248"/>
    </row>
    <row r="53" spans="1:8" x14ac:dyDescent="0.25">
      <c r="D53" t="s">
        <v>7</v>
      </c>
      <c r="E53" s="80">
        <f>10*0.65*1.42*0.68</f>
        <v>6.2764000000000006</v>
      </c>
      <c r="F53" s="65" t="s">
        <v>18</v>
      </c>
    </row>
    <row r="54" spans="1:8" x14ac:dyDescent="0.25">
      <c r="C54" t="s">
        <v>8</v>
      </c>
      <c r="D54" t="s">
        <v>7</v>
      </c>
      <c r="E54" t="s">
        <v>115</v>
      </c>
    </row>
    <row r="55" spans="1:8" x14ac:dyDescent="0.25">
      <c r="E55" s="80">
        <f>10-E53</f>
        <v>3.7235999999999994</v>
      </c>
      <c r="F55" s="65" t="s">
        <v>18</v>
      </c>
    </row>
    <row r="56" spans="1:8" x14ac:dyDescent="0.25">
      <c r="A56" t="s">
        <v>17</v>
      </c>
      <c r="D56" t="s">
        <v>7</v>
      </c>
      <c r="E56" t="s">
        <v>37</v>
      </c>
    </row>
    <row r="57" spans="1:8" x14ac:dyDescent="0.25">
      <c r="A57" t="s">
        <v>9</v>
      </c>
      <c r="D57" t="s">
        <v>7</v>
      </c>
      <c r="E57" s="79">
        <f>F13</f>
        <v>799.63235294117646</v>
      </c>
      <c r="F57" s="65" t="s">
        <v>92</v>
      </c>
    </row>
    <row r="58" spans="1:8" x14ac:dyDescent="0.25">
      <c r="A58" t="s">
        <v>17</v>
      </c>
      <c r="D58" t="s">
        <v>7</v>
      </c>
      <c r="E58" s="79">
        <f>E55*(E57/1000)</f>
        <v>2.9775110294117644</v>
      </c>
      <c r="F58" s="65" t="s">
        <v>10</v>
      </c>
    </row>
    <row r="59" spans="1:8" x14ac:dyDescent="0.25">
      <c r="A59" t="s">
        <v>116</v>
      </c>
      <c r="D59" t="s">
        <v>7</v>
      </c>
      <c r="E59" s="80">
        <f>E58+E49</f>
        <v>4098.3285110294119</v>
      </c>
      <c r="F59" s="65" t="s">
        <v>10</v>
      </c>
    </row>
    <row r="60" spans="1:8" x14ac:dyDescent="0.25">
      <c r="E60" s="81"/>
    </row>
    <row r="61" spans="1:8" x14ac:dyDescent="0.25">
      <c r="A61" t="s">
        <v>117</v>
      </c>
    </row>
    <row r="62" spans="1:8" x14ac:dyDescent="0.25">
      <c r="A62" t="s">
        <v>118</v>
      </c>
      <c r="E62" t="s">
        <v>7</v>
      </c>
      <c r="F62" s="65">
        <f>F28-F29</f>
        <v>13650</v>
      </c>
      <c r="G62" t="s">
        <v>12</v>
      </c>
    </row>
    <row r="63" spans="1:8" x14ac:dyDescent="0.25">
      <c r="A63" t="s">
        <v>119</v>
      </c>
      <c r="E63" t="s">
        <v>7</v>
      </c>
      <c r="F63" s="71">
        <f>E59</f>
        <v>4098.3285110294119</v>
      </c>
      <c r="G63" t="s">
        <v>12</v>
      </c>
    </row>
    <row r="64" spans="1:8" x14ac:dyDescent="0.25">
      <c r="F64" s="83"/>
    </row>
    <row r="66" spans="1:7" x14ac:dyDescent="0.25">
      <c r="A66" t="s">
        <v>120</v>
      </c>
      <c r="E66" t="s">
        <v>7</v>
      </c>
      <c r="F66" s="65">
        <f>H4-F25</f>
        <v>378</v>
      </c>
      <c r="G66" t="s">
        <v>12</v>
      </c>
    </row>
    <row r="67" spans="1:7" x14ac:dyDescent="0.25">
      <c r="A67" t="s">
        <v>121</v>
      </c>
      <c r="E67" t="s">
        <v>7</v>
      </c>
      <c r="F67" s="71">
        <f>F2-((F11+F13)/1000)</f>
        <v>58.850853083952025</v>
      </c>
      <c r="G67" t="s">
        <v>20</v>
      </c>
    </row>
    <row r="68" spans="1:7" x14ac:dyDescent="0.25">
      <c r="A68" t="s">
        <v>122</v>
      </c>
      <c r="E68" t="s">
        <v>7</v>
      </c>
      <c r="F68" s="71">
        <f>1*F67</f>
        <v>58.850853083952025</v>
      </c>
      <c r="G68" t="s">
        <v>12</v>
      </c>
    </row>
    <row r="69" spans="1:7" x14ac:dyDescent="0.25">
      <c r="A69" t="s">
        <v>11</v>
      </c>
      <c r="E69" t="s">
        <v>7</v>
      </c>
      <c r="F69" s="71">
        <f>F66-F68</f>
        <v>319.14914691604798</v>
      </c>
      <c r="G69" t="s">
        <v>12</v>
      </c>
    </row>
    <row r="71" spans="1:7" x14ac:dyDescent="0.25">
      <c r="A71" s="84" t="s">
        <v>27</v>
      </c>
    </row>
    <row r="72" spans="1:7" x14ac:dyDescent="0.25">
      <c r="A72" t="s">
        <v>13</v>
      </c>
      <c r="E72" t="s">
        <v>7</v>
      </c>
      <c r="F72" s="65">
        <f>F32-F33</f>
        <v>9600</v>
      </c>
      <c r="G72" t="s">
        <v>12</v>
      </c>
    </row>
    <row r="73" spans="1:7" x14ac:dyDescent="0.25">
      <c r="A73" t="s">
        <v>27</v>
      </c>
      <c r="E73" t="s">
        <v>7</v>
      </c>
      <c r="F73" s="65">
        <f>F12</f>
        <v>6525</v>
      </c>
      <c r="G73" t="s">
        <v>12</v>
      </c>
    </row>
    <row r="74" spans="1:7" x14ac:dyDescent="0.25">
      <c r="F74" s="71">
        <f>F13</f>
        <v>799.63235294117646</v>
      </c>
      <c r="G74" t="s">
        <v>92</v>
      </c>
    </row>
  </sheetData>
  <mergeCells count="19">
    <mergeCell ref="E51:H52"/>
    <mergeCell ref="T12:U12"/>
    <mergeCell ref="T13:U13"/>
    <mergeCell ref="T14:U14"/>
    <mergeCell ref="A39:C39"/>
    <mergeCell ref="A50:C50"/>
    <mergeCell ref="E50:H50"/>
    <mergeCell ref="T11:U11"/>
    <mergeCell ref="O4:P4"/>
    <mergeCell ref="Q4:R4"/>
    <mergeCell ref="T4:U4"/>
    <mergeCell ref="O5:P5"/>
    <mergeCell ref="Q5:R5"/>
    <mergeCell ref="T5:U5"/>
    <mergeCell ref="T6:U6"/>
    <mergeCell ref="T7:U7"/>
    <mergeCell ref="T8:U8"/>
    <mergeCell ref="T9:U9"/>
    <mergeCell ref="T10:U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MASS BALNC</vt: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2018-04-05T09:38:31Z</dcterms:modified>
</cp:coreProperties>
</file>