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ROZA1\Desktop\Data Analysis\Excel By chandoo\"/>
    </mc:Choice>
  </mc:AlternateContent>
  <xr:revisionPtr revIDLastSave="0" documentId="13_ncr:1_{66CA2028-7D9F-4FBD-9021-7BE90255D9E1}" xr6:coauthVersionLast="47" xr6:coauthVersionMax="47" xr10:uidLastSave="{00000000-0000-0000-0000-000000000000}"/>
  <bookViews>
    <workbookView xWindow="-120" yWindow="-120" windowWidth="20730" windowHeight="11160" firstSheet="6" activeTab="9" xr2:uid="{26D4546B-D2A1-4444-8EAF-A6228F96F0C1}"/>
  </bookViews>
  <sheets>
    <sheet name="NZ Staff" sheetId="1" r:id="rId1"/>
    <sheet name="INDIA Staff" sheetId="2" r:id="rId2"/>
    <sheet name="AllStaff" sheetId="3" r:id="rId3"/>
    <sheet name="Info finder 2.0" sheetId="4" r:id="rId4"/>
    <sheet name="male vs. female" sheetId="5" r:id="rId5"/>
    <sheet name="Salary Spread" sheetId="6" r:id="rId6"/>
    <sheet name="Salary vs. Rating" sheetId="7" r:id="rId7"/>
    <sheet name="Employee trend over time" sheetId="11" r:id="rId8"/>
    <sheet name="Final Report Card" sheetId="12" r:id="rId9"/>
    <sheet name="Report Pivot Table" sheetId="13" r:id="rId10"/>
  </sheets>
  <definedNames>
    <definedName name="_xlnm._FilterDatabase" localSheetId="1" hidden="1">'INDIA Staff'!$B$3:$H$115</definedName>
    <definedName name="_xlnm._FilterDatabase" localSheetId="0" hidden="1">'NZ Staff'!$B$3:$H$103</definedName>
    <definedName name="_xlchart.v1.0" hidden="1">AllStaff!$G$1</definedName>
    <definedName name="_xlchart.v1.1" hidden="1">AllStaff!$G$2:$G$185</definedName>
    <definedName name="_xlchart.v1.2" hidden="1">AllStaff!$G$1</definedName>
    <definedName name="_xlchart.v1.3" hidden="1">AllStaff!$G$2:$G$185</definedName>
    <definedName name="_xlchart.v1.4" hidden="1">AllStaff!$G$1</definedName>
    <definedName name="_xlchart.v1.5" hidden="1">AllStaff!$G$2:$G$185</definedName>
    <definedName name="_xlcn.WorksheetConnection_blankdatafile.xlsxstaff1" hidden="1">staff[]</definedName>
    <definedName name="ExternalData_1" localSheetId="2" hidden="1">AllStaff!$A$1:$H$184</definedName>
    <definedName name="Slicer_Country">#N/A</definedName>
  </definedNames>
  <calcPr calcId="191029"/>
  <pivotCaches>
    <pivotCache cacheId="29" r:id="rId11"/>
    <pivotCache cacheId="33" r:id="rId12"/>
    <pivotCache cacheId="69" r:id="rId13"/>
    <pivotCache cacheId="102" r:id="rId14"/>
    <pivotCache cacheId="105" r:id="rId15"/>
  </pivotCaches>
  <extLst>
    <ext xmlns:x14="http://schemas.microsoft.com/office/spreadsheetml/2009/9/main" uri="{876F7934-8845-4945-9796-88D515C7AA90}">
      <x14:pivotCaches>
        <pivotCache cacheId="32"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2" l="1"/>
  <c r="F3" i="12"/>
  <c r="K3" i="12"/>
  <c r="D3" i="12"/>
  <c r="I3" i="12"/>
  <c r="B3" i="12"/>
  <c r="P8" i="11"/>
  <c r="P12" i="11"/>
  <c r="P16" i="11"/>
  <c r="P20" i="11"/>
  <c r="P24" i="11"/>
  <c r="P28" i="11"/>
  <c r="P32" i="11"/>
  <c r="P36" i="11"/>
  <c r="P4" i="11"/>
  <c r="O4" i="11" a="1"/>
  <c r="O4" i="11" s="1"/>
  <c r="N4" i="11" a="1"/>
  <c r="N4" i="11" s="1"/>
  <c r="K183" i="3"/>
  <c r="K184" i="3"/>
  <c r="K181" i="3"/>
  <c r="K182" i="3"/>
  <c r="K179" i="3"/>
  <c r="K180" i="3"/>
  <c r="K177" i="3"/>
  <c r="K178" i="3"/>
  <c r="K175" i="3"/>
  <c r="K176" i="3"/>
  <c r="K173" i="3"/>
  <c r="K174" i="3"/>
  <c r="K171" i="3"/>
  <c r="K172" i="3"/>
  <c r="K169" i="3"/>
  <c r="K170" i="3"/>
  <c r="K167" i="3"/>
  <c r="K168" i="3"/>
  <c r="K165" i="3"/>
  <c r="K166" i="3"/>
  <c r="K162" i="3"/>
  <c r="K163" i="3"/>
  <c r="K164" i="3"/>
  <c r="K160" i="3"/>
  <c r="K161" i="3"/>
  <c r="K158" i="3"/>
  <c r="K159" i="3"/>
  <c r="K156" i="3"/>
  <c r="K157" i="3"/>
  <c r="K154" i="3"/>
  <c r="K155" i="3"/>
  <c r="K152" i="3"/>
  <c r="K153" i="3"/>
  <c r="K150" i="3"/>
  <c r="K151" i="3"/>
  <c r="K148" i="3"/>
  <c r="K149" i="3"/>
  <c r="K146" i="3"/>
  <c r="K147" i="3"/>
  <c r="K144" i="3"/>
  <c r="K145" i="3"/>
  <c r="K142" i="3"/>
  <c r="K143" i="3"/>
  <c r="K140" i="3"/>
  <c r="K141" i="3"/>
  <c r="K138" i="3"/>
  <c r="K139" i="3"/>
  <c r="K136" i="3"/>
  <c r="K137" i="3"/>
  <c r="K134" i="3"/>
  <c r="K135" i="3"/>
  <c r="K132" i="3"/>
  <c r="K133" i="3"/>
  <c r="K130" i="3"/>
  <c r="K131" i="3"/>
  <c r="K128" i="3"/>
  <c r="K129" i="3"/>
  <c r="K126" i="3"/>
  <c r="K127" i="3"/>
  <c r="K124" i="3"/>
  <c r="K125" i="3"/>
  <c r="K122" i="3"/>
  <c r="K123" i="3"/>
  <c r="K120" i="3"/>
  <c r="K121" i="3"/>
  <c r="K118" i="3"/>
  <c r="K119" i="3"/>
  <c r="K116" i="3"/>
  <c r="K117" i="3"/>
  <c r="K114" i="3"/>
  <c r="K115" i="3"/>
  <c r="K112" i="3"/>
  <c r="K113" i="3"/>
  <c r="K110" i="3"/>
  <c r="K111" i="3"/>
  <c r="K108" i="3"/>
  <c r="K109" i="3"/>
  <c r="K106" i="3"/>
  <c r="K107" i="3"/>
  <c r="K104" i="3"/>
  <c r="K105" i="3"/>
  <c r="K102" i="3"/>
  <c r="K103" i="3"/>
  <c r="K100" i="3"/>
  <c r="K101" i="3"/>
  <c r="K98" i="3"/>
  <c r="K99" i="3"/>
  <c r="K96" i="3"/>
  <c r="K97" i="3"/>
  <c r="K94" i="3"/>
  <c r="K95" i="3"/>
  <c r="K92" i="3"/>
  <c r="K93" i="3"/>
  <c r="K90" i="3"/>
  <c r="K91" i="3"/>
  <c r="K88" i="3"/>
  <c r="K89" i="3"/>
  <c r="K86" i="3"/>
  <c r="K87" i="3"/>
  <c r="K84" i="3"/>
  <c r="K85" i="3"/>
  <c r="K82" i="3"/>
  <c r="K83" i="3"/>
  <c r="K80" i="3"/>
  <c r="K81" i="3"/>
  <c r="K78" i="3"/>
  <c r="K79" i="3"/>
  <c r="K76" i="3"/>
  <c r="K77" i="3"/>
  <c r="K74" i="3"/>
  <c r="K75" i="3"/>
  <c r="K72" i="3"/>
  <c r="K73" i="3"/>
  <c r="K70" i="3"/>
  <c r="K71" i="3"/>
  <c r="K68" i="3"/>
  <c r="K69" i="3"/>
  <c r="K66" i="3"/>
  <c r="K67" i="3"/>
  <c r="K64" i="3"/>
  <c r="K65" i="3"/>
  <c r="K62" i="3"/>
  <c r="K63" i="3"/>
  <c r="K60" i="3"/>
  <c r="K61" i="3"/>
  <c r="K58" i="3"/>
  <c r="K59" i="3"/>
  <c r="K56" i="3"/>
  <c r="K57" i="3"/>
  <c r="K54" i="3"/>
  <c r="K55" i="3"/>
  <c r="K52" i="3"/>
  <c r="K53" i="3"/>
  <c r="K50" i="3"/>
  <c r="K51" i="3"/>
  <c r="K48" i="3"/>
  <c r="K49" i="3"/>
  <c r="K46" i="3"/>
  <c r="K47" i="3"/>
  <c r="K44" i="3"/>
  <c r="K45" i="3"/>
  <c r="K42" i="3"/>
  <c r="K43" i="3"/>
  <c r="K38" i="3"/>
  <c r="K39" i="3"/>
  <c r="K40" i="3"/>
  <c r="K41" i="3"/>
  <c r="K36" i="3"/>
  <c r="K37" i="3"/>
  <c r="K34" i="3"/>
  <c r="K35" i="3"/>
  <c r="K32" i="3"/>
  <c r="K33" i="3"/>
  <c r="K30" i="3"/>
  <c r="K31" i="3"/>
  <c r="K28" i="3"/>
  <c r="K29" i="3"/>
  <c r="K26" i="3"/>
  <c r="K27" i="3"/>
  <c r="K24" i="3"/>
  <c r="K25" i="3"/>
  <c r="K22" i="3"/>
  <c r="K23" i="3"/>
  <c r="K20" i="3"/>
  <c r="K21" i="3"/>
  <c r="K18" i="3"/>
  <c r="K19" i="3"/>
  <c r="K16" i="3"/>
  <c r="K17" i="3"/>
  <c r="K14" i="3"/>
  <c r="K15" i="3"/>
  <c r="K12" i="3"/>
  <c r="K13" i="3"/>
  <c r="K10" i="3"/>
  <c r="K11" i="3"/>
  <c r="K8" i="3"/>
  <c r="K9" i="3"/>
  <c r="K6" i="3"/>
  <c r="K7" i="3"/>
  <c r="K4" i="3"/>
  <c r="K5" i="3"/>
  <c r="K2" i="3"/>
  <c r="K3" i="3"/>
  <c r="I165" i="3"/>
  <c r="J165" i="3" s="1"/>
  <c r="C3" i="4"/>
  <c r="N8" i="3"/>
  <c r="N6" i="3"/>
  <c r="O4" i="3"/>
  <c r="O3" i="3"/>
  <c r="I86" i="3"/>
  <c r="J86" i="3" s="1"/>
  <c r="I36" i="3"/>
  <c r="J36" i="3" s="1"/>
  <c r="I175" i="3"/>
  <c r="J175" i="3" s="1"/>
  <c r="I38" i="3"/>
  <c r="J38" i="3" s="1"/>
  <c r="I160" i="3"/>
  <c r="J160" i="3" s="1"/>
  <c r="I26" i="3"/>
  <c r="J26" i="3" s="1"/>
  <c r="I62" i="3"/>
  <c r="J62" i="3" s="1"/>
  <c r="I42" i="3"/>
  <c r="J42" i="3" s="1"/>
  <c r="I183" i="3"/>
  <c r="J183" i="3" s="1"/>
  <c r="I158" i="3"/>
  <c r="J158" i="3" s="1"/>
  <c r="I68" i="3"/>
  <c r="J68" i="3" s="1"/>
  <c r="I78" i="3"/>
  <c r="J78" i="3" s="1"/>
  <c r="I152" i="3"/>
  <c r="J152" i="3" s="1"/>
  <c r="I18" i="3"/>
  <c r="J18" i="3" s="1"/>
  <c r="I136" i="3"/>
  <c r="J136" i="3" s="1"/>
  <c r="I8" i="3"/>
  <c r="J8" i="3" s="1"/>
  <c r="I48" i="3"/>
  <c r="J48" i="3" s="1"/>
  <c r="I14" i="3"/>
  <c r="J14" i="3" s="1"/>
  <c r="I98" i="3"/>
  <c r="J98" i="3" s="1"/>
  <c r="I52" i="3"/>
  <c r="J52" i="3" s="1"/>
  <c r="I72" i="3"/>
  <c r="J72" i="3" s="1"/>
  <c r="I50" i="3"/>
  <c r="J50" i="3" s="1"/>
  <c r="I30" i="3"/>
  <c r="J30" i="3" s="1"/>
  <c r="I64" i="3"/>
  <c r="J64" i="3" s="1"/>
  <c r="I92" i="3"/>
  <c r="J92" i="3" s="1"/>
  <c r="I118" i="3"/>
  <c r="J118" i="3" s="1"/>
  <c r="I4" i="3"/>
  <c r="J4" i="3" s="1"/>
  <c r="I100" i="3"/>
  <c r="J100" i="3" s="1"/>
  <c r="I58" i="3"/>
  <c r="J58" i="3" s="1"/>
  <c r="I96" i="3"/>
  <c r="J96" i="3" s="1"/>
  <c r="I177" i="3"/>
  <c r="J177" i="3" s="1"/>
  <c r="I106" i="3"/>
  <c r="J106" i="3" s="1"/>
  <c r="I156" i="3"/>
  <c r="J156" i="3" s="1"/>
  <c r="I32" i="3"/>
  <c r="J32" i="3" s="1"/>
  <c r="I138" i="3"/>
  <c r="J138" i="3" s="1"/>
  <c r="I132" i="3"/>
  <c r="J132" i="3" s="1"/>
  <c r="I142" i="3"/>
  <c r="J142" i="3" s="1"/>
  <c r="I28" i="3"/>
  <c r="J28" i="3" s="1"/>
  <c r="I34" i="3"/>
  <c r="J34" i="3" s="1"/>
  <c r="I104" i="3"/>
  <c r="J104" i="3" s="1"/>
  <c r="I116" i="3"/>
  <c r="J116" i="3" s="1"/>
  <c r="I112" i="3"/>
  <c r="J112" i="3" s="1"/>
  <c r="I128" i="3"/>
  <c r="J128" i="3" s="1"/>
  <c r="I162" i="3"/>
  <c r="J162" i="3" s="1"/>
  <c r="I108" i="3"/>
  <c r="J108" i="3" s="1"/>
  <c r="I76" i="3"/>
  <c r="J76" i="3" s="1"/>
  <c r="I110" i="3"/>
  <c r="J110" i="3" s="1"/>
  <c r="I54" i="3"/>
  <c r="J54" i="3" s="1"/>
  <c r="I181" i="3"/>
  <c r="J181" i="3" s="1"/>
  <c r="I24" i="3"/>
  <c r="J24" i="3" s="1"/>
  <c r="I20" i="3"/>
  <c r="J20" i="3" s="1"/>
  <c r="I173" i="3"/>
  <c r="J173" i="3" s="1"/>
  <c r="I82" i="3"/>
  <c r="J82" i="3" s="1"/>
  <c r="I88" i="3"/>
  <c r="J88" i="3" s="1"/>
  <c r="I154" i="3"/>
  <c r="J154" i="3" s="1"/>
  <c r="I167" i="3"/>
  <c r="J167" i="3" s="1"/>
  <c r="I80" i="3"/>
  <c r="J80" i="3" s="1"/>
  <c r="I179" i="3"/>
  <c r="J179" i="3" s="1"/>
  <c r="I102" i="3"/>
  <c r="J102" i="3" s="1"/>
  <c r="I171" i="3"/>
  <c r="J171" i="3" s="1"/>
  <c r="I124" i="3"/>
  <c r="J124" i="3" s="1"/>
  <c r="I148" i="3"/>
  <c r="J148" i="3" s="1"/>
  <c r="I44" i="3"/>
  <c r="J44" i="3" s="1"/>
  <c r="I122" i="3"/>
  <c r="J122" i="3" s="1"/>
  <c r="I46" i="3"/>
  <c r="J46" i="3" s="1"/>
  <c r="I130" i="3"/>
  <c r="J130" i="3" s="1"/>
  <c r="I70" i="3"/>
  <c r="J70" i="3" s="1"/>
  <c r="I22" i="3"/>
  <c r="J22" i="3" s="1"/>
  <c r="I60" i="3"/>
  <c r="J60" i="3" s="1"/>
  <c r="I144" i="3"/>
  <c r="J144" i="3" s="1"/>
  <c r="I120" i="3"/>
  <c r="J120" i="3" s="1"/>
  <c r="I140" i="3"/>
  <c r="J140" i="3" s="1"/>
  <c r="I169" i="3"/>
  <c r="J169" i="3" s="1"/>
  <c r="I2" i="3"/>
  <c r="J2" i="3" s="1"/>
  <c r="I150" i="3"/>
  <c r="J150" i="3" s="1"/>
  <c r="I10" i="3"/>
  <c r="J10" i="3" s="1"/>
  <c r="I126" i="3"/>
  <c r="J126" i="3" s="1"/>
  <c r="I6" i="3"/>
  <c r="J6" i="3" s="1"/>
  <c r="I146" i="3"/>
  <c r="J146" i="3" s="1"/>
  <c r="I134" i="3"/>
  <c r="J134" i="3" s="1"/>
  <c r="I114" i="3"/>
  <c r="J114" i="3" s="1"/>
  <c r="I16" i="3"/>
  <c r="J16" i="3" s="1"/>
  <c r="I56" i="3"/>
  <c r="J56" i="3" s="1"/>
  <c r="I66" i="3"/>
  <c r="J66" i="3" s="1"/>
  <c r="I12" i="3"/>
  <c r="J12" i="3" s="1"/>
  <c r="I94" i="3"/>
  <c r="J94" i="3" s="1"/>
  <c r="I90" i="3"/>
  <c r="J90" i="3" s="1"/>
  <c r="I74" i="3"/>
  <c r="J74" i="3" s="1"/>
  <c r="I84" i="3"/>
  <c r="J84" i="3" s="1"/>
  <c r="I39" i="3"/>
  <c r="J39" i="3" s="1"/>
  <c r="I163" i="3"/>
  <c r="J163" i="3" s="1"/>
  <c r="I19" i="3"/>
  <c r="J19" i="3" s="1"/>
  <c r="I143" i="3"/>
  <c r="J143" i="3" s="1"/>
  <c r="I21" i="3"/>
  <c r="J21" i="3" s="1"/>
  <c r="I176" i="3"/>
  <c r="J176" i="3" s="1"/>
  <c r="I47" i="3"/>
  <c r="J47" i="3" s="1"/>
  <c r="I131" i="3"/>
  <c r="J131" i="3" s="1"/>
  <c r="I125" i="3"/>
  <c r="J125" i="3" s="1"/>
  <c r="I91" i="3"/>
  <c r="J91" i="3" s="1"/>
  <c r="I157" i="3"/>
  <c r="J157" i="3" s="1"/>
  <c r="I147" i="3"/>
  <c r="J147" i="3" s="1"/>
  <c r="I135" i="3"/>
  <c r="J135" i="3" s="1"/>
  <c r="I25" i="3"/>
  <c r="J25" i="3" s="1"/>
  <c r="I9" i="3"/>
  <c r="J9" i="3" s="1"/>
  <c r="I164" i="3"/>
  <c r="J164" i="3" s="1"/>
  <c r="I33" i="3"/>
  <c r="J33" i="3" s="1"/>
  <c r="I182" i="3"/>
  <c r="J182" i="3" s="1"/>
  <c r="I83" i="3"/>
  <c r="J83" i="3" s="1"/>
  <c r="I109" i="3"/>
  <c r="J109" i="3" s="1"/>
  <c r="I103" i="3"/>
  <c r="J103" i="3" s="1"/>
  <c r="I45" i="3"/>
  <c r="J45" i="3" s="1"/>
  <c r="I121" i="3"/>
  <c r="J121" i="3" s="1"/>
  <c r="I7" i="3"/>
  <c r="J7" i="3" s="1"/>
  <c r="I93" i="3"/>
  <c r="J93" i="3" s="1"/>
  <c r="I11" i="3"/>
  <c r="J11" i="3" s="1"/>
  <c r="I141" i="3"/>
  <c r="J141" i="3" s="1"/>
  <c r="I51" i="3"/>
  <c r="J51" i="3" s="1"/>
  <c r="I172" i="3"/>
  <c r="J172" i="3" s="1"/>
  <c r="I13" i="3"/>
  <c r="J13" i="3" s="1"/>
  <c r="I161" i="3"/>
  <c r="J161" i="3" s="1"/>
  <c r="I23" i="3"/>
  <c r="J23" i="3" s="1"/>
  <c r="I71" i="3"/>
  <c r="J71" i="3" s="1"/>
  <c r="I139" i="3"/>
  <c r="J139" i="3" s="1"/>
  <c r="I111" i="3"/>
  <c r="J111" i="3" s="1"/>
  <c r="I35" i="3"/>
  <c r="J35" i="3" s="1"/>
  <c r="I159" i="3"/>
  <c r="J159" i="3" s="1"/>
  <c r="I184" i="3"/>
  <c r="J184" i="3" s="1"/>
  <c r="I166" i="3"/>
  <c r="J166" i="3" s="1"/>
  <c r="I174" i="3"/>
  <c r="J174" i="3" s="1"/>
  <c r="I31" i="3"/>
  <c r="J31" i="3" s="1"/>
  <c r="I99" i="3"/>
  <c r="J99" i="3" s="1"/>
  <c r="I37" i="3"/>
  <c r="J37" i="3" s="1"/>
  <c r="I115" i="3"/>
  <c r="J115" i="3" s="1"/>
  <c r="I3" i="3"/>
  <c r="J3" i="3" s="1"/>
  <c r="I95" i="3"/>
  <c r="J95" i="3" s="1"/>
  <c r="I53" i="3"/>
  <c r="J53" i="3" s="1"/>
  <c r="I149" i="3"/>
  <c r="J149" i="3" s="1"/>
  <c r="I49" i="3"/>
  <c r="J49" i="3" s="1"/>
  <c r="I127" i="3"/>
  <c r="J127" i="3" s="1"/>
  <c r="I85" i="3"/>
  <c r="J85" i="3" s="1"/>
  <c r="I101" i="3"/>
  <c r="J101" i="3" s="1"/>
  <c r="I123" i="3"/>
  <c r="J123" i="3" s="1"/>
  <c r="I61" i="3"/>
  <c r="J61" i="3" s="1"/>
  <c r="I178" i="3"/>
  <c r="J178" i="3" s="1"/>
  <c r="I67" i="3"/>
  <c r="J67" i="3" s="1"/>
  <c r="I65" i="3"/>
  <c r="J65" i="3" s="1"/>
  <c r="I129" i="3"/>
  <c r="J129" i="3" s="1"/>
  <c r="I29" i="3"/>
  <c r="J29" i="3" s="1"/>
  <c r="I113" i="3"/>
  <c r="J113" i="3" s="1"/>
  <c r="I119" i="3"/>
  <c r="J119" i="3" s="1"/>
  <c r="I77" i="3"/>
  <c r="J77" i="3" s="1"/>
  <c r="I40" i="3"/>
  <c r="J40" i="3" s="1"/>
  <c r="I17" i="3"/>
  <c r="J17" i="3" s="1"/>
  <c r="I155" i="3"/>
  <c r="J155" i="3" s="1"/>
  <c r="I137" i="3"/>
  <c r="J137" i="3" s="1"/>
  <c r="I15" i="3"/>
  <c r="J15" i="3" s="1"/>
  <c r="I89" i="3"/>
  <c r="J89" i="3" s="1"/>
  <c r="I168" i="3"/>
  <c r="J168" i="3" s="1"/>
  <c r="I117" i="3"/>
  <c r="J117" i="3" s="1"/>
  <c r="I41" i="3"/>
  <c r="J41" i="3" s="1"/>
  <c r="I79" i="3"/>
  <c r="J79" i="3" s="1"/>
  <c r="I73" i="3"/>
  <c r="J73" i="3" s="1"/>
  <c r="I81" i="3"/>
  <c r="J81" i="3" s="1"/>
  <c r="I59" i="3"/>
  <c r="J59" i="3" s="1"/>
  <c r="I151" i="3"/>
  <c r="J151" i="3" s="1"/>
  <c r="I180" i="3"/>
  <c r="J180" i="3" s="1"/>
  <c r="I105" i="3"/>
  <c r="J105" i="3" s="1"/>
  <c r="I170" i="3"/>
  <c r="J170" i="3" s="1"/>
  <c r="I145" i="3"/>
  <c r="J145" i="3" s="1"/>
  <c r="I75" i="3"/>
  <c r="J75" i="3" s="1"/>
  <c r="I5" i="3"/>
  <c r="J5" i="3" s="1"/>
  <c r="I63" i="3"/>
  <c r="J63" i="3" s="1"/>
  <c r="I153" i="3"/>
  <c r="J153" i="3" s="1"/>
  <c r="I69" i="3"/>
  <c r="J69" i="3" s="1"/>
  <c r="I97" i="3"/>
  <c r="J97" i="3" s="1"/>
  <c r="I43" i="3"/>
  <c r="J43" i="3" s="1"/>
  <c r="I107" i="3"/>
  <c r="J107" i="3" s="1"/>
  <c r="I55" i="3"/>
  <c r="J55" i="3" s="1"/>
  <c r="I87" i="3"/>
  <c r="J87" i="3" s="1"/>
  <c r="I57" i="3"/>
  <c r="J57" i="3" s="1"/>
  <c r="I27" i="3"/>
  <c r="J27" i="3" s="1"/>
  <c r="I133" i="3"/>
  <c r="J133" i="3" s="1"/>
  <c r="N4" i="3"/>
  <c r="N3" i="3"/>
  <c r="N2" i="3"/>
  <c r="Q4" i="11" l="1"/>
  <c r="P39" i="11"/>
  <c r="P35" i="11"/>
  <c r="P31" i="11"/>
  <c r="P27" i="11"/>
  <c r="P23" i="11"/>
  <c r="P19" i="11"/>
  <c r="P15" i="11"/>
  <c r="P11" i="11"/>
  <c r="P7" i="11"/>
  <c r="Q7" i="11"/>
  <c r="P38" i="11"/>
  <c r="P34" i="11"/>
  <c r="P30" i="11"/>
  <c r="P26" i="11"/>
  <c r="P22" i="11"/>
  <c r="P18" i="11"/>
  <c r="P14" i="11"/>
  <c r="P10" i="11"/>
  <c r="Q30" i="11" s="1"/>
  <c r="P6" i="11"/>
  <c r="P37" i="11"/>
  <c r="P33" i="11"/>
  <c r="P29" i="11"/>
  <c r="P25" i="11"/>
  <c r="P21" i="11"/>
  <c r="P17" i="11"/>
  <c r="Q37" i="11" s="1"/>
  <c r="P13" i="11"/>
  <c r="P9" i="11"/>
  <c r="P5" i="11"/>
  <c r="Q5" i="11" s="1"/>
  <c r="N5" i="3"/>
  <c r="B6" i="4" a="1"/>
  <c r="B6" i="4" s="1"/>
  <c r="M13" i="3" a="1"/>
  <c r="M13" i="3" s="1"/>
  <c r="N7" i="3"/>
  <c r="N9" i="3"/>
  <c r="Q21" i="11" l="1"/>
  <c r="Q23" i="11"/>
  <c r="Q39" i="11"/>
  <c r="Q18" i="11"/>
  <c r="Q34" i="11"/>
  <c r="Q11" i="11"/>
  <c r="Q27" i="11"/>
  <c r="Q20" i="11"/>
  <c r="Q36" i="11"/>
  <c r="Q14" i="11"/>
  <c r="Q16" i="11"/>
  <c r="Q32" i="11"/>
  <c r="Q9" i="11"/>
  <c r="Q25" i="11"/>
  <c r="Q13" i="11"/>
  <c r="Q29" i="11"/>
  <c r="Q6" i="11"/>
  <c r="Q22" i="11"/>
  <c r="Q38" i="11"/>
  <c r="Q15" i="11"/>
  <c r="Q31" i="11"/>
  <c r="Q8" i="11"/>
  <c r="Q24" i="11"/>
  <c r="Q17" i="11"/>
  <c r="Q33" i="11"/>
  <c r="Q10" i="11"/>
  <c r="Q26" i="11"/>
  <c r="Q19" i="11"/>
  <c r="Q35" i="11"/>
  <c r="Q12" i="11"/>
  <c r="Q2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M13" authorId="0" shapeId="0" xr:uid="{19342764-6DCC-4868-A85C-6E0C06236C9F}">
      <text>
        <r>
          <rPr>
            <b/>
            <sz val="9"/>
            <color indexed="81"/>
            <rFont val="Tahoma"/>
            <family val="2"/>
          </rPr>
          <t>ROZA1:</t>
        </r>
        <r>
          <rPr>
            <sz val="9"/>
            <color indexed="81"/>
            <rFont val="Tahoma"/>
            <family val="2"/>
          </rPr>
          <t xml:space="preserve">
</t>
        </r>
      </text>
    </comment>
    <comment ref="I165" authorId="0" shapeId="0" xr:uid="{6B97440F-8BB0-434C-B7E6-0D6B485DBDD1}">
      <text>
        <r>
          <rPr>
            <b/>
            <sz val="9"/>
            <color indexed="81"/>
            <rFont val="Tahoma"/>
            <family val="2"/>
          </rPr>
          <t>ROZA1:</t>
        </r>
        <r>
          <rPr>
            <sz val="9"/>
            <color indexed="81"/>
            <rFont val="Tahoma"/>
            <family val="2"/>
          </rPr>
          <t xml:space="preserve">
</t>
        </r>
      </text>
    </comment>
    <comment ref="J165" authorId="0" shapeId="0" xr:uid="{87FBA12A-3DEF-4039-BBA9-EFE66F3B39F8}">
      <text>
        <r>
          <rPr>
            <b/>
            <sz val="9"/>
            <color indexed="81"/>
            <rFont val="Tahoma"/>
            <charset val="1"/>
          </rPr>
          <t>ROZA1:</t>
        </r>
        <r>
          <rPr>
            <sz val="9"/>
            <color indexed="81"/>
            <rFont val="Tahoma"/>
            <charset val="1"/>
          </rPr>
          <t xml:space="preserve">
</t>
        </r>
      </text>
    </comment>
    <comment ref="K183" authorId="0" shapeId="0" xr:uid="{97D81A31-C9ED-42D2-91B1-7DE1D95000F8}">
      <text>
        <r>
          <rPr>
            <b/>
            <sz val="9"/>
            <color indexed="81"/>
            <rFont val="Tahoma"/>
            <family val="2"/>
          </rPr>
          <t>ROZA1:</t>
        </r>
        <r>
          <rPr>
            <sz val="9"/>
            <color indexed="81"/>
            <rFont val="Tahoma"/>
            <family val="2"/>
          </rPr>
          <t xml:space="preserve">
absolute cell , Sheet5!$C$2:$C$6 
is F4 key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C3" authorId="0" shapeId="0" xr:uid="{E7E14BCB-A68F-4457-9622-98D1376259EE}">
      <text>
        <r>
          <rPr>
            <b/>
            <sz val="9"/>
            <color indexed="81"/>
            <rFont val="Tahoma"/>
            <family val="2"/>
          </rPr>
          <t>ROZA1:</t>
        </r>
        <r>
          <rPr>
            <sz val="9"/>
            <color indexed="81"/>
            <rFont val="Tahoma"/>
            <family val="2"/>
          </rPr>
          <t xml:space="preserve">
</t>
        </r>
      </text>
    </comment>
    <comment ref="B6" authorId="0" shapeId="0" xr:uid="{DC9E3855-EA17-414C-89E9-61D80D224FF9}">
      <text>
        <r>
          <rPr>
            <b/>
            <sz val="9"/>
            <color indexed="81"/>
            <rFont val="Tahoma"/>
            <family val="2"/>
          </rPr>
          <t>ROZA1:</t>
        </r>
        <r>
          <rPr>
            <sz val="9"/>
            <color indexed="81"/>
            <rFont val="Tahoma"/>
            <family val="2"/>
          </rPr>
          <t xml:space="preserve">
-1 means sort in DESC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C3" authorId="0" shapeId="0" xr:uid="{C42CEE32-CBDC-4E06-BDFC-836C4BA3CB96}">
      <text>
        <r>
          <rPr>
            <b/>
            <sz val="9"/>
            <color indexed="81"/>
            <rFont val="Tahoma"/>
            <family val="2"/>
          </rPr>
          <t>ROZA1:</t>
        </r>
        <r>
          <rPr>
            <sz val="9"/>
            <color indexed="81"/>
            <rFont val="Tahoma"/>
            <family val="2"/>
          </rPr>
          <t xml:space="preserve">
right click on B3 cell show value As (Running Total in)</t>
        </r>
      </text>
    </comment>
    <comment ref="N4" authorId="0" shapeId="0" xr:uid="{AA2E2A54-89B9-431A-AD85-D28B5B5188FD}">
      <text>
        <r>
          <rPr>
            <b/>
            <sz val="9"/>
            <color indexed="81"/>
            <rFont val="Tahoma"/>
            <family val="2"/>
          </rPr>
          <t>ROZA1:</t>
        </r>
        <r>
          <rPr>
            <sz val="9"/>
            <color indexed="81"/>
            <rFont val="Tahoma"/>
            <family val="2"/>
          </rPr>
          <t xml:space="preserve">
</t>
        </r>
      </text>
    </comment>
    <comment ref="O4" authorId="0" shapeId="0" xr:uid="{A6CFB0CF-8A16-436D-BE2E-8D07A88EE053}">
      <text>
        <r>
          <rPr>
            <b/>
            <sz val="9"/>
            <color indexed="81"/>
            <rFont val="Tahoma"/>
            <family val="2"/>
          </rPr>
          <t>ROZA1:</t>
        </r>
        <r>
          <rPr>
            <sz val="9"/>
            <color indexed="81"/>
            <rFont val="Tahoma"/>
            <family val="2"/>
          </rPr>
          <t xml:space="preserve">
</t>
        </r>
      </text>
    </comment>
    <comment ref="P4" authorId="0" shapeId="0" xr:uid="{B88125A1-7339-46DB-BC94-266617139C7D}">
      <text>
        <r>
          <rPr>
            <b/>
            <sz val="9"/>
            <color indexed="81"/>
            <rFont val="Tahoma"/>
            <family val="2"/>
          </rPr>
          <t>ROZA1:</t>
        </r>
        <r>
          <rPr>
            <sz val="9"/>
            <color indexed="81"/>
            <rFont val="Tahoma"/>
            <family val="2"/>
          </rPr>
          <t xml:space="preserve">
</t>
        </r>
      </text>
    </comment>
    <comment ref="Q4" authorId="0" shapeId="0" xr:uid="{52CFFDD0-FDDE-4872-82BD-E441DEFDBC30}">
      <text>
        <r>
          <rPr>
            <b/>
            <sz val="9"/>
            <color indexed="81"/>
            <rFont val="Tahoma"/>
            <family val="2"/>
          </rPr>
          <t>ROZA1:</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D3" authorId="0" shapeId="0" xr:uid="{37F1311E-8AD9-456A-96C8-A0BE32B08AD8}">
      <text>
        <r>
          <rPr>
            <b/>
            <sz val="9"/>
            <color indexed="81"/>
            <rFont val="Tahoma"/>
            <family val="2"/>
          </rPr>
          <t>ROZA1:</t>
        </r>
        <r>
          <rPr>
            <sz val="9"/>
            <color indexed="81"/>
            <rFont val="Tahoma"/>
            <family val="2"/>
          </rPr>
          <t xml:space="preserve">
percentge
 CTRL + SHIFT  +5</t>
        </r>
      </text>
    </comment>
    <comment ref="F3" authorId="0" shapeId="0" xr:uid="{C82B043E-E537-4E36-86D7-3929D1D54255}">
      <text>
        <r>
          <rPr>
            <b/>
            <sz val="9"/>
            <color indexed="81"/>
            <rFont val="Tahoma"/>
            <family val="2"/>
          </rPr>
          <t>ROZA1:</t>
        </r>
        <r>
          <rPr>
            <sz val="9"/>
            <color indexed="81"/>
            <rFont val="Tahoma"/>
            <family val="2"/>
          </rPr>
          <t xml:space="preserve">
ROZA1:
percentge
 CTRL + SHIFT  +4</t>
        </r>
      </text>
    </comment>
    <comment ref="K3" authorId="0" shapeId="0" xr:uid="{C454C788-5C2D-43FF-B757-8F3E852B1E8F}">
      <text>
        <r>
          <rPr>
            <b/>
            <sz val="9"/>
            <color indexed="81"/>
            <rFont val="Tahoma"/>
            <family val="2"/>
          </rPr>
          <t>ROZA1:</t>
        </r>
        <r>
          <rPr>
            <sz val="9"/>
            <color indexed="81"/>
            <rFont val="Tahoma"/>
            <family val="2"/>
          </rPr>
          <t xml:space="preserve">
percentge
 CTRL + SHIFT  +5</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C7D1CA-4382-4F6C-977D-BC39D6AAAFB1}"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B5B5C187-5C81-4C1B-9333-B65F90E2951A}"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A1451141-F812-435D-AC4B-224968A0E44C}"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69DCE7D5-1178-46AE-804E-7B6D416427E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09D0920B-1B0F-47CD-9DF8-2A7BFAE25D15}"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NZ]}"/>
    <s v="{[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<sst xmlns="http://schemas.openxmlformats.org/spreadsheetml/2006/main" count="1890" uniqueCount="254">
  <si>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</si>
  <si>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</si>
  <si>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</si>
  <si>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</si>
  <si>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</si>
  <si>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</si>
  <si>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</si>
  <si>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</si>
  <si>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</si>
  <si>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</si>
  <si>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</si>
  <si>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</si>
  <si>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</si>
  <si>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</si>
  <si>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</si>
  <si>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</si>
  <si>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</si>
  <si>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</si>
  <si>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</si>
  <si>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</si>
  <si>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</si>
  <si>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</si>
  <si>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</si>
  <si>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</si>
  <si>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</si>
  <si>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</si>
  <si>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</si>
  <si>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</si>
  <si>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</si>
  <si>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</si>
  <si>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</si>
  <si>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</si>
  <si>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</si>
  <si>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</si>
  <si>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</si>
  <si>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</si>
  <si>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</si>
  <si>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</si>
  <si>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</si>
  <si>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</si>
  <si>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</si>
  <si>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</si>
  <si>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</si>
  <si>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</si>
  <si>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</si>
  <si>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</si>
  <si>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</si>
  <si>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</si>
  <si>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</si>
  <si>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</si>
  <si>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</si>
  <si>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</si>
  <si>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</si>
  <si>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</si>
  <si>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</si>
  <si>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</si>
  <si>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</si>
  <si>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</si>
  <si>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</si>
  <si>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</si>
  <si>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</si>
  <si>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</si>
  <si>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</si>
  <si>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</si>
  <si>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</si>
  <si>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</si>
  <si>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</si>
  <si>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</si>
  <si>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</si>
  <si>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</si>
  <si>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</si>
  <si>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</si>
  <si>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</si>
  <si>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</si>
  <si>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</si>
  <si>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</si>
  <si>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</si>
  <si>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</si>
  <si>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</si>
  <si>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</si>
  <si>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</si>
  <si>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</si>
  <si>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</si>
  <si>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</si>
  <si>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</si>
  <si>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</si>
  <si>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</si>
  <si>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</si>
  <si>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</si>
  <si>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</si>
  <si>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</si>
  <si>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</si>
  <si>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</si>
  <si>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</si>
  <si>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</si>
  <si>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</si>
  <si>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</si>
  <si>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</si>
  <si>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</si>
  <si>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</si>
  <si>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</si>
  <si>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</si>
  <si>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</si>
  <si>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</si>
  <si>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</si>
  <si>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</si>
  <si>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</si>
  <si>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</si>
  <si>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</si>
  <si>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</si>
  <si>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</si>
  <si>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</si>
  <si>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</si>
  <si>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</si>
  <si>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</si>
  <si>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</si>
  <si>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</si>
  <si>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</si>
  <si>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</si>
  <si>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</si>
  <si>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</si>
  <si>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</si>
  <si>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</si>
  <si>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</si>
  <si>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</si>
  <si>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</si>
  <si>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</si>
  <si>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</si>
  <si>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</si>
  <si>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</si>
  <si>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</si>
  <si>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</si>
  <si>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</si>
  <si>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</si>
  <si>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</si>
  <si>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</si>
  <si>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</si>
  <si>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</si>
  <si>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</si>
  <si>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</si>
  <si>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</si>
  <si>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</si>
  <si>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</si>
  <si>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</si>
  <si>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</si>
  <si>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</si>
  <si>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</si>
  <si>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</si>
  <si>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</si>
  <si>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</si>
  <si>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</si>
  <si>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</si>
  <si>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</si>
  <si>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</si>
  <si>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</si>
  <si>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</si>
  <si>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</si>
  <si>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</si>
  <si>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</si>
  <si>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</si>
  <si>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</si>
  <si>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</si>
  <si>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</si>
  <si>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</si>
  <si>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</si>
  <si>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</si>
  <si>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</si>
  <si>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</si>
  <si>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</si>
  <si>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</si>
  <si>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</si>
  <si>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</si>
  <si>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</si>
  <si>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</si>
  <si>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</si>
  <si>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</si>
  <si>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</si>
  <si>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</si>
  <si>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</si>
  <si>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</si>
  <si>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</si>
  <si>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</si>
  <si>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</si>
  <si>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</si>
  <si>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</si>
  <si>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</si>
  <si>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</si>
  <si>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</si>
  <si>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</si>
  <si>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</si>
  <si>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</si>
  <si>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</si>
  <si>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</si>
  <si>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</si>
  <si>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</si>
  <si>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</si>
  <si>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</si>
  <si>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</si>
  <si>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</si>
  <si>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</si>
  <si>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</si>
  <si>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</si>
  <si>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</si>
  <si>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NZ</t>
  </si>
  <si>
    <t>Other</t>
  </si>
  <si>
    <t>IND</t>
  </si>
  <si>
    <t xml:space="preserve">Count of employees </t>
  </si>
  <si>
    <t xml:space="preserve">Average Salary </t>
  </si>
  <si>
    <t xml:space="preserve">Average Age </t>
  </si>
  <si>
    <t>Average Tenure</t>
  </si>
  <si>
    <t>Tenure</t>
  </si>
  <si>
    <t>Female Ratio%</t>
  </si>
  <si>
    <t>Female count</t>
  </si>
  <si>
    <t>Ratio of $90,000</t>
  </si>
  <si>
    <t>90,000 count</t>
  </si>
  <si>
    <t xml:space="preserve"> 1)Quick Analysis</t>
  </si>
  <si>
    <t>2)Information Finder</t>
  </si>
  <si>
    <t>3) Information Finder 2.0</t>
  </si>
  <si>
    <t>Nuber of people</t>
  </si>
  <si>
    <t>4) male vs. female</t>
  </si>
  <si>
    <t>Column Labels</t>
  </si>
  <si>
    <t>Count of Name</t>
  </si>
  <si>
    <t>Average of Age</t>
  </si>
  <si>
    <t>Values</t>
  </si>
  <si>
    <t>Average of Tenure</t>
  </si>
  <si>
    <t>Average of Salary</t>
  </si>
  <si>
    <t xml:space="preserve">Bouns </t>
  </si>
  <si>
    <t>Row Labels</t>
  </si>
  <si>
    <t>Grand Total</t>
  </si>
  <si>
    <t>Rating as number</t>
  </si>
  <si>
    <t>2020</t>
  </si>
  <si>
    <t>May</t>
  </si>
  <si>
    <t>Jun</t>
  </si>
  <si>
    <t>Jul</t>
  </si>
  <si>
    <t>Aug</t>
  </si>
  <si>
    <t>Sep</t>
  </si>
  <si>
    <t>Oct</t>
  </si>
  <si>
    <t>Nov</t>
  </si>
  <si>
    <t>Dec</t>
  </si>
  <si>
    <t>2021</t>
  </si>
  <si>
    <t>Jan</t>
  </si>
  <si>
    <t>Feb</t>
  </si>
  <si>
    <t>Mar</t>
  </si>
  <si>
    <t>Apr</t>
  </si>
  <si>
    <t>2022</t>
  </si>
  <si>
    <t>2023</t>
  </si>
  <si>
    <t xml:space="preserve">Month </t>
  </si>
  <si>
    <t>HeadCount</t>
  </si>
  <si>
    <t>Running Total</t>
  </si>
  <si>
    <t>HeadCount By Department</t>
  </si>
  <si>
    <t>NewZeland</t>
  </si>
  <si>
    <t>INDIA</t>
  </si>
  <si>
    <t>NewZeland Employee Data</t>
  </si>
  <si>
    <t>INDIA Employee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</si>
</sst>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1"/>
      <color theme="1"/>
      <name val="Calibri"/>
      <family val="2"/>
      <scheme val="minor"/>
    </font>
    <font>
      <sz val="28"/>
      <color theme="1"/>
      <name val="Segoe UI Light"/>
      <family val="2"/>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
      <b/>
      <sz val="14"/>
      <color theme="1"/>
      <name val="Calibri"/>
      <family val="2"/>
      <scheme val="minor"/>
    </font>
    <font>
      <b/>
      <sz val="26"/>
      <color theme="1"/>
      <name val="Calibri"/>
      <family val="2"/>
      <scheme val="minor"/>
    </font>
    <font>
      <sz val="20"/>
      <color theme="1" tint="0.34998626667073579"/>
      <name val="Calibri"/>
      <family val="2"/>
      <scheme val="minor"/>
    </font>
    <font>
      <sz val="48"/>
      <color theme="4"/>
      <name val="Calibri"/>
      <family val="2"/>
      <scheme val="minor"/>
    </font>
    <font>
      <sz val="48"/>
      <color theme="5" tint="-0.249977111117893"/>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6" fontId="0" fillId="0" borderId="0" xfId="0" applyNumberFormat="1"/>
    <xf numFmtId="14" fontId="0" fillId="0" borderId="0" xfId="0" applyNumberFormat="1"/>
    <xf numFmtId="2" fontId="0" fillId="0" borderId="0" xfId="0" applyNumberFormat="1"/>
    <xf numFmtId="10" fontId="0" fillId="0" borderId="0" xfId="0" applyNumberFormat="1"/>
    <xf numFmtId="9" fontId="0" fillId="0" borderId="0" xfId="0" applyNumberFormat="1"/>
    <xf numFmtId="0" fontId="0" fillId="4" borderId="0" xfId="0" applyFill="1" applyAlignment="1">
      <alignment horizontal="center"/>
    </xf>
    <xf numFmtId="0" fontId="0" fillId="5" borderId="0" xfId="0" applyFill="1"/>
    <xf numFmtId="0" fontId="0" fillId="4" borderId="0" xfId="0" applyFill="1"/>
    <xf numFmtId="0" fontId="0" fillId="0" borderId="0" xfId="0" applyAlignment="1">
      <alignment horizontal="left"/>
    </xf>
    <xf numFmtId="2" fontId="0" fillId="0" borderId="0" xfId="0" applyNumberFormat="1" applyAlignment="1">
      <alignment horizontal="left"/>
    </xf>
    <xf numFmtId="14" fontId="0" fillId="0" borderId="0" xfId="0" applyNumberFormat="1" applyAlignment="1">
      <alignment horizontal="left"/>
    </xf>
    <xf numFmtId="0" fontId="0" fillId="4" borderId="0" xfId="0" applyFill="1" applyAlignment="1">
      <alignment horizontal="right"/>
    </xf>
    <xf numFmtId="0" fontId="0" fillId="0" borderId="0" xfId="0" applyAlignment="1">
      <alignment horizontal="right"/>
    </xf>
    <xf numFmtId="0" fontId="0" fillId="6" borderId="0" xfId="0" applyFill="1" applyAlignment="1">
      <alignment horizontal="left"/>
    </xf>
    <xf numFmtId="0" fontId="0" fillId="0" borderId="0" xfId="0" pivotButton="1"/>
    <xf numFmtId="0" fontId="0" fillId="0" borderId="0" xfId="0" applyNumberFormat="1"/>
    <xf numFmtId="0" fontId="0" fillId="0" borderId="1" xfId="0" applyBorder="1" applyAlignment="1">
      <alignment horizontal="left"/>
    </xf>
    <xf numFmtId="0" fontId="0" fillId="0" borderId="1" xfId="0" applyBorder="1"/>
    <xf numFmtId="0" fontId="0" fillId="0" borderId="0" xfId="0" applyAlignment="1">
      <alignment horizontal="left" indent="1"/>
    </xf>
    <xf numFmtId="0" fontId="0" fillId="7" borderId="1" xfId="0" applyFill="1" applyBorder="1"/>
    <xf numFmtId="15" fontId="0" fillId="7" borderId="1" xfId="0" applyNumberFormat="1" applyFill="1" applyBorder="1"/>
    <xf numFmtId="0" fontId="4" fillId="4" borderId="1" xfId="0" applyFont="1" applyFill="1" applyBorder="1"/>
    <xf numFmtId="0" fontId="0" fillId="0" borderId="0" xfId="0" applyFill="1"/>
    <xf numFmtId="0" fontId="8" fillId="4" borderId="0" xfId="0" applyFont="1" applyFill="1" applyAlignment="1">
      <alignment horizontal="center" vertical="center"/>
    </xf>
    <xf numFmtId="0" fontId="8" fillId="8" borderId="0" xfId="0" applyFont="1" applyFill="1" applyAlignment="1">
      <alignment horizontal="center" vertical="center"/>
    </xf>
    <xf numFmtId="9" fontId="8" fillId="4" borderId="0" xfId="0" applyNumberFormat="1" applyFont="1" applyFill="1" applyAlignment="1">
      <alignment horizontal="center" vertical="center"/>
    </xf>
    <xf numFmtId="6" fontId="8" fillId="4" borderId="0" xfId="0" applyNumberFormat="1" applyFont="1" applyFill="1" applyAlignment="1">
      <alignment horizontal="center" vertical="center"/>
    </xf>
    <xf numFmtId="9" fontId="8" fillId="8" borderId="0" xfId="0" applyNumberFormat="1" applyFont="1" applyFill="1" applyAlignment="1">
      <alignment horizontal="center" vertical="center"/>
    </xf>
    <xf numFmtId="6" fontId="8" fillId="8" borderId="0" xfId="0" applyNumberFormat="1" applyFont="1" applyFill="1" applyAlignment="1">
      <alignment horizontal="center" vertical="center"/>
    </xf>
    <xf numFmtId="0" fontId="9" fillId="9" borderId="0" xfId="0" applyFont="1" applyFill="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10" borderId="0" xfId="0" applyFill="1"/>
    <xf numFmtId="0" fontId="7" fillId="4" borderId="0" xfId="0" applyFont="1" applyFill="1"/>
  </cellXfs>
  <cellStyles count="1">
    <cellStyle name="Normal" xfId="0" builtinId="0"/>
  </cellStyles>
  <dxfs count="14">
    <dxf>
      <numFmt numFmtId="0" formatCode="General"/>
    </dxf>
    <dxf>
      <numFmt numFmtId="10" formatCode="&quot;$&quot;#,##0_);[Red]\(&quot;$&quot;#,##0\)"/>
    </dxf>
    <dxf>
      <numFmt numFmtId="10" formatCode="&quot;$&quot;#,##0_);[Red]\(&quot;$&quot;#,##0\)"/>
    </dxf>
    <dxf>
      <numFmt numFmtId="0" formatCode="General"/>
    </dxf>
    <dxf>
      <numFmt numFmtId="10" formatCode="&quot;$&quot;#,##0_);[Red]\(&quot;$&quot;#,##0\)"/>
    </dxf>
    <dxf>
      <numFmt numFmtId="2" formatCode="0.00"/>
    </dxf>
    <dxf>
      <numFmt numFmtId="2" formatCode="0.00"/>
    </dxf>
    <dxf>
      <numFmt numFmtId="19" formatCode="m/d/yyyy"/>
    </dxf>
    <dxf>
      <numFmt numFmtId="0" formatCode="General"/>
    </dxf>
    <dxf>
      <numFmt numFmtId="0" formatCode="General"/>
    </dxf>
    <dxf>
      <numFmt numFmtId="0" formatCode="General"/>
    </dxf>
    <dxf>
      <numFmt numFmtId="10" formatCode="&quot;$&quot;#,##0_);[Red]\(&quot;$&quot;#,##0\)"/>
    </dxf>
    <dxf>
      <numFmt numFmtId="20" formatCode="d\-mmm\-yy"/>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AllStaff!$G$2:$G$185</c:f>
              <c:numCache>
                <c:formatCode>"$"#,##0_);[Red]\("$"#,##0\)</c:formatCode>
                <c:ptCount val="184"/>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AllStaff!$K$2:$K$185</c:f>
              <c:numCache>
                <c:formatCode>General</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CE5-4E9D-BC08-5F160F55E6DB}"/>
            </c:ext>
          </c:extLst>
        </c:ser>
        <c:dLbls>
          <c:showLegendKey val="0"/>
          <c:showVal val="0"/>
          <c:showCatName val="0"/>
          <c:showSerName val="0"/>
          <c:showPercent val="0"/>
          <c:showBubbleSize val="0"/>
        </c:dLbls>
        <c:axId val="2025477023"/>
        <c:axId val="2025477439"/>
      </c:scatterChart>
      <c:valAx>
        <c:axId val="202547702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77439"/>
        <c:crosses val="autoZero"/>
        <c:crossBetween val="midCat"/>
      </c:valAx>
      <c:valAx>
        <c:axId val="202547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770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2.0.xlsx]Employee trend over time!PivotTable2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5.6216081254848831E-2"/>
          <c:y val="0.26328484981044037"/>
          <c:w val="0.78415401915026939"/>
          <c:h val="0.46043708078156897"/>
        </c:manualLayout>
      </c:layout>
      <c:lineChart>
        <c:grouping val="standard"/>
        <c:varyColors val="0"/>
        <c:ser>
          <c:idx val="0"/>
          <c:order val="0"/>
          <c:tx>
            <c:strRef>
              <c:f>'Employee trend over time'!$B$1</c:f>
              <c:strCache>
                <c:ptCount val="1"/>
                <c:pt idx="0">
                  <c:v>Total</c:v>
                </c:pt>
              </c:strCache>
            </c:strRef>
          </c:tx>
          <c:spPr>
            <a:ln w="28575" cap="rnd">
              <a:solidFill>
                <a:schemeClr val="accent1"/>
              </a:solidFill>
              <a:round/>
            </a:ln>
            <a:effectLst/>
          </c:spPr>
          <c:marker>
            <c:symbol val="none"/>
          </c:marker>
          <c:cat>
            <c:multiLvlStrRef>
              <c:f>'Employee trend over time'!$A$2:$A$38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 over time'!$B$2:$B$38</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5-A041-4E24-AEAD-39E7B573AABC}"/>
            </c:ext>
          </c:extLst>
        </c:ser>
        <c:dLbls>
          <c:showLegendKey val="0"/>
          <c:showVal val="0"/>
          <c:showCatName val="0"/>
          <c:showSerName val="0"/>
          <c:showPercent val="0"/>
          <c:showBubbleSize val="0"/>
        </c:dLbls>
        <c:smooth val="0"/>
        <c:axId val="19649135"/>
        <c:axId val="19650799"/>
      </c:lineChart>
      <c:catAx>
        <c:axId val="19649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0799"/>
        <c:crosses val="autoZero"/>
        <c:auto val="1"/>
        <c:lblAlgn val="ctr"/>
        <c:lblOffset val="100"/>
        <c:noMultiLvlLbl val="0"/>
      </c:catAx>
      <c:valAx>
        <c:axId val="1965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9135"/>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980314960629919"/>
          <c:y val="0.19486111111111112"/>
          <c:w val="0.89019685039370078"/>
          <c:h val="0.60845654709827934"/>
        </c:manualLayout>
      </c:layout>
      <c:lineChart>
        <c:grouping val="standard"/>
        <c:varyColors val="0"/>
        <c:ser>
          <c:idx val="0"/>
          <c:order val="0"/>
          <c:tx>
            <c:strRef>
              <c:f>'Employee trend over time'!$Q$3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 over time'!$O$4:$O$39</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 over time'!$Q$4:$Q$39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6B5-4731-AB43-104591A4C27C}"/>
            </c:ext>
          </c:extLst>
        </c:ser>
        <c:dLbls>
          <c:showLegendKey val="0"/>
          <c:showVal val="0"/>
          <c:showCatName val="0"/>
          <c:showSerName val="0"/>
          <c:showPercent val="0"/>
          <c:showBubbleSize val="0"/>
        </c:dLbls>
        <c:marker val="1"/>
        <c:smooth val="0"/>
        <c:axId val="798380639"/>
        <c:axId val="798383135"/>
      </c:lineChart>
      <c:dateAx>
        <c:axId val="798380639"/>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83135"/>
        <c:crosses val="autoZero"/>
        <c:auto val="1"/>
        <c:lblOffset val="100"/>
        <c:baseTimeUnit val="months"/>
      </c:dateAx>
      <c:valAx>
        <c:axId val="798383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8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2.0.xlsx]Report Pivot Table!PivotTable3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Pivot Table'!$B$3</c:f>
              <c:strCache>
                <c:ptCount val="1"/>
                <c:pt idx="0">
                  <c:v>Total</c:v>
                </c:pt>
              </c:strCache>
            </c:strRef>
          </c:tx>
          <c:spPr>
            <a:solidFill>
              <a:schemeClr val="accent1"/>
            </a:solidFill>
            <a:ln>
              <a:noFill/>
            </a:ln>
            <a:effectLst/>
          </c:spPr>
          <c:invertIfNegative val="0"/>
          <c:cat>
            <c:strRef>
              <c:f>'Report Pivot Table'!$A$4:$A$9</c:f>
              <c:strCache>
                <c:ptCount val="5"/>
                <c:pt idx="0">
                  <c:v>Website</c:v>
                </c:pt>
                <c:pt idx="1">
                  <c:v>Procurement</c:v>
                </c:pt>
                <c:pt idx="2">
                  <c:v>Finance</c:v>
                </c:pt>
                <c:pt idx="3">
                  <c:v>Sales</c:v>
                </c:pt>
                <c:pt idx="4">
                  <c:v>HR</c:v>
                </c:pt>
              </c:strCache>
            </c:strRef>
          </c:cat>
          <c:val>
            <c:numRef>
              <c:f>'Report Pivot Table'!$B$4:$B$9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5B4A-458C-B62F-0566DA27D549}"/>
            </c:ext>
          </c:extLst>
        </c:ser>
        <c:dLbls>
          <c:showLegendKey val="0"/>
          <c:showVal val="0"/>
          <c:showCatName val="0"/>
          <c:showSerName val="0"/>
          <c:showPercent val="0"/>
          <c:showBubbleSize val="0"/>
        </c:dLbls>
        <c:gapWidth val="25"/>
        <c:axId val="653377663"/>
        <c:axId val="653371839"/>
      </c:barChart>
      <c:catAx>
        <c:axId val="6533776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371839"/>
        <c:crosses val="autoZero"/>
        <c:auto val="1"/>
        <c:lblAlgn val="ctr"/>
        <c:lblOffset val="100"/>
        <c:noMultiLvlLbl val="0"/>
      </c:catAx>
      <c:valAx>
        <c:axId val="6533718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37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2.0.xlsx]Report Pivot Table!PivotTable4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 Pivot Table'!$E$3</c:f>
              <c:strCache>
                <c:ptCount val="1"/>
                <c:pt idx="0">
                  <c:v>Total</c:v>
                </c:pt>
              </c:strCache>
            </c:strRef>
          </c:tx>
          <c:spPr>
            <a:solidFill>
              <a:schemeClr val="accent2"/>
            </a:solidFill>
            <a:ln>
              <a:noFill/>
            </a:ln>
            <a:effectLst/>
          </c:spPr>
          <c:invertIfNegative val="0"/>
          <c:cat>
            <c:strRef>
              <c:f>'Report Pivot Table'!$D$4:$D$9</c:f>
              <c:strCache>
                <c:ptCount val="5"/>
                <c:pt idx="0">
                  <c:v>Procurement</c:v>
                </c:pt>
                <c:pt idx="1">
                  <c:v>Website</c:v>
                </c:pt>
                <c:pt idx="2">
                  <c:v>Finance</c:v>
                </c:pt>
                <c:pt idx="3">
                  <c:v>Sales</c:v>
                </c:pt>
                <c:pt idx="4">
                  <c:v>HR</c:v>
                </c:pt>
              </c:strCache>
            </c:strRef>
          </c:cat>
          <c:val>
            <c:numRef>
              <c:f>'Report Pivot Table'!$E$4:$E$9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3E46-4B3B-AE1B-08059840973F}"/>
            </c:ext>
          </c:extLst>
        </c:ser>
        <c:dLbls>
          <c:showLegendKey val="0"/>
          <c:showVal val="0"/>
          <c:showCatName val="0"/>
          <c:showSerName val="0"/>
          <c:showPercent val="0"/>
          <c:showBubbleSize val="0"/>
        </c:dLbls>
        <c:gapWidth val="25"/>
        <c:axId val="798281503"/>
        <c:axId val="798283583"/>
      </c:barChart>
      <c:catAx>
        <c:axId val="7982815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283583"/>
        <c:crosses val="autoZero"/>
        <c:auto val="1"/>
        <c:lblAlgn val="ctr"/>
        <c:lblOffset val="100"/>
        <c:noMultiLvlLbl val="0"/>
      </c:catAx>
      <c:valAx>
        <c:axId val="79828358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2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B4847F87-80CF-4B74-9127-FFE45FDB56C0}">
          <cx:tx>
            <cx:txData>
              <cx:f>_xlchart.v1.0</cx:f>
              <cx:v>Salary</cx:v>
            </cx:txData>
          </cx:tx>
          <cx:dataId val="0"/>
          <cx:layoutPr>
            <cx:binning intervalClosed="r" underflow="4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2DDAD588-2937-48A6-85DE-DA92388E6DDA}">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466725</xdr:colOff>
      <xdr:row>4</xdr:row>
      <xdr:rowOff>161925</xdr:rowOff>
    </xdr:from>
    <xdr:to>
      <xdr:col>8</xdr:col>
      <xdr:colOff>161925</xdr:colOff>
      <xdr:row>18</xdr:row>
      <xdr:rowOff>19050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944B38F-2B7C-519C-A934-D8CBA3AADBF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257800" y="923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381000</xdr:colOff>
      <xdr:row>18</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D9330-D1AC-4727-87A9-95757A061D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5867400" cy="3581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28574</xdr:colOff>
      <xdr:row>0</xdr:row>
      <xdr:rowOff>0</xdr:rowOff>
    </xdr:from>
    <xdr:to>
      <xdr:col>17</xdr:col>
      <xdr:colOff>552449</xdr:colOff>
      <xdr:row>23</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26C9884-6783-4FDD-AEFA-899300DA68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34174" y="0"/>
              <a:ext cx="4181475" cy="4400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304800</xdr:colOff>
      <xdr:row>17</xdr:row>
      <xdr:rowOff>76200</xdr:rowOff>
    </xdr:to>
    <xdr:graphicFrame macro="">
      <xdr:nvGraphicFramePr>
        <xdr:cNvPr id="2" name="Chart 1">
          <a:extLst>
            <a:ext uri="{FF2B5EF4-FFF2-40B4-BE49-F238E27FC236}">
              <a16:creationId xmlns:a16="http://schemas.microsoft.com/office/drawing/2014/main" id="{8CB1D8C8-5229-4741-ABCC-B5F0D3803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214311</xdr:colOff>
      <xdr:row>1</xdr:row>
      <xdr:rowOff>61912</xdr:rowOff>
    </xdr:from>
    <xdr:to>
      <xdr:col>12</xdr:col>
      <xdr:colOff>142874</xdr:colOff>
      <xdr:row>15</xdr:row>
      <xdr:rowOff>138112</xdr:rowOff>
    </xdr:to>
    <xdr:graphicFrame macro="">
      <xdr:nvGraphicFramePr>
        <xdr:cNvPr id="2" name="Chart 1">
          <a:extLst>
            <a:ext uri="{FF2B5EF4-FFF2-40B4-BE49-F238E27FC236}">
              <a16:creationId xmlns:a16="http://schemas.microsoft.com/office/drawing/2014/main" id="{EBA11427-E327-2DEE-8ECE-918DAD80D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328612</xdr:colOff>
      <xdr:row>18</xdr:row>
      <xdr:rowOff>42862</xdr:rowOff>
    </xdr:from>
    <xdr:to>
      <xdr:col>12</xdr:col>
      <xdr:colOff>23812</xdr:colOff>
      <xdr:row>32</xdr:row>
      <xdr:rowOff>119062</xdr:rowOff>
    </xdr:to>
    <xdr:graphicFrame macro="">
      <xdr:nvGraphicFramePr>
        <xdr:cNvPr id="4" name="Chart 3">
          <a:extLst>
            <a:ext uri="{FF2B5EF4-FFF2-40B4-BE49-F238E27FC236}">
              <a16:creationId xmlns:a16="http://schemas.microsoft.com/office/drawing/2014/main" id="{C152D5BE-DA55-273E-F8E5-E6845DF47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6</xdr:row>
      <xdr:rowOff>180974</xdr:rowOff>
    </xdr:from>
    <xdr:to>
      <xdr:col>5</xdr:col>
      <xdr:colOff>1873250</xdr:colOff>
      <xdr:row>23</xdr:row>
      <xdr:rowOff>0</xdr:rowOff>
    </xdr:to>
    <xdr:graphicFrame macro="">
      <xdr:nvGraphicFramePr>
        <xdr:cNvPr id="2" name="Chart 1">
          <a:extLst>
            <a:ext uri="{FF2B5EF4-FFF2-40B4-BE49-F238E27FC236}">
              <a16:creationId xmlns:a16="http://schemas.microsoft.com/office/drawing/2014/main" id="{29EDCDF5-72A1-40F9-AF8F-E0BEB96DB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7</xdr:row>
      <xdr:rowOff>9524</xdr:rowOff>
    </xdr:from>
    <xdr:to>
      <xdr:col>13</xdr:col>
      <xdr:colOff>15875</xdr:colOff>
      <xdr:row>23</xdr:row>
      <xdr:rowOff>15875</xdr:rowOff>
    </xdr:to>
    <xdr:graphicFrame macro="">
      <xdr:nvGraphicFramePr>
        <xdr:cNvPr id="3" name="Chart 2">
          <a:extLst>
            <a:ext uri="{FF2B5EF4-FFF2-40B4-BE49-F238E27FC236}">
              <a16:creationId xmlns:a16="http://schemas.microsoft.com/office/drawing/2014/main" id="{865E5833-1B72-4CE0-999E-4C3EEE4D7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13607</xdr:colOff>
      <xdr:row>0</xdr:row>
      <xdr:rowOff>108857</xdr:rowOff>
    </xdr:from>
    <xdr:to>
      <xdr:col>7</xdr:col>
      <xdr:colOff>13607</xdr:colOff>
      <xdr:row>23</xdr:row>
      <xdr:rowOff>122464</xdr:rowOff>
    </xdr:to>
    <xdr:cxnSp macro="">
      <xdr:nvCxnSpPr>
        <xdr:cNvPr id="5" name="Straight Connector 4">
          <a:extLst>
            <a:ext uri="{FF2B5EF4-FFF2-40B4-BE49-F238E27FC236}">
              <a16:creationId xmlns:a16="http://schemas.microsoft.com/office/drawing/2014/main" id="{977628F1-F74C-AE1C-9625-8AC6070F9770}"/>
            </a:ext>
          </a:extLst>
        </xdr:cNvPr>
        <xdr:cNvCxnSpPr/>
      </xdr:nvCxnSpPr>
      <xdr:spPr>
        <a:xfrm>
          <a:off x="6477000" y="108857"/>
          <a:ext cx="0" cy="6667500"/>
        </a:xfrm>
        <a:prstGeom prst="line">
          <a:avLst/>
        </a:prstGeom>
        <a:ln w="12700">
          <a:solidFill>
            <a:schemeClr val="bg2"/>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765309722221" backgroundQuery="1" createdVersion="8" refreshedVersion="8" minRefreshableVersion="3" recordCount="0" supportSubquery="1" supportAdvancedDrill="1" xr:uid="{35DFFC40-86C9-4D68-B8A6-63CA114A9BC2}">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6" level="32767"/>
    <cacheField name="[Measures].[Average of Salary]" caption="Average of Salary" numFmtId="0" hierarchy="22"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765316435187" backgroundQuery="1" createdVersion="8" refreshedVersion="8" minRefreshableVersion="3" recordCount="0" supportSubquery="1" supportAdvancedDrill="1" xr:uid="{269884FA-EF73-4222-B1D7-6FE552962036}">
  <cacheSource type="external" connectionId="4"/>
  <cacheFields count="6">
    <cacheField name="[staff].[Gender].[Gender]" caption="Gender" numFmtId="0" hierarchy="1" level="1">
      <sharedItems count="2">
        <s v="Female"/>
        <s v="Male"/>
      </sharedItems>
    </cacheField>
    <cacheField name="[Measures].[Average of Age]" caption="Average of Age" numFmtId="0" hierarchy="18" level="32767"/>
    <cacheField name="[Measures].[Count of Name]" caption="Count of Name" numFmtId="0" hierarchy="16" level="32767"/>
    <cacheField name="[Measures].[Average of Tenure]" caption="Average of Tenure" numFmtId="0" hierarchy="21" level="32767"/>
    <cacheField name="[Measures].[Average of Salary]" caption="Average of Salary"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3"/>
      </fieldsUsage>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4"/>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768465856483" backgroundQuery="1" createdVersion="8" refreshedVersion="8" minRefreshableVersion="3" recordCount="0" supportSubquery="1" supportAdvancedDrill="1" xr:uid="{4785B4CF-67AD-41DA-A588-C951A631119F}">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808923611112" backgroundQuery="1" createdVersion="8" refreshedVersion="8" minRefreshableVersion="3" recordCount="0" supportSubquery="1" supportAdvancedDrill="1" xr:uid="{1A310B21-2335-43DD-B873-AB451A522787}">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808982175928" backgroundQuery="1" createdVersion="8" refreshedVersion="8" minRefreshableVersion="3" recordCount="0" supportSubquery="1" supportAdvancedDrill="1" xr:uid="{0745C827-8AFA-444B-8535-BAC1D5E709D7}">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5096.765310416667" backgroundQuery="1" createdVersion="3" refreshedVersion="8" minRefreshableVersion="3" recordCount="0" supportSubquery="1" supportAdvancedDrill="1" xr:uid="{73942012-603C-4016-9A5A-1AEA18AE5EAC}">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4695935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EDF9DD-FCC0-43C9-A0AE-FB294C6C8A11}" name="PivotTable2" cacheId="33"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2" subtotal="count" baseField="0" baseItem="0"/>
    <dataField name="Average of Age" fld="1" subtotal="average" baseField="0" baseItem="0"/>
    <dataField name="Average of Salary" fld="4" subtotal="average" baseField="0" baseItem="0"/>
    <dataField name="Average of Tenure" fld="3" subtotal="average" baseField="0" baseItem="0"/>
  </dataFields>
  <formats count="1">
    <format dxfId="6">
      <pivotArea collapsedLevelsAreSubtotals="1" fieldPosition="0">
        <references count="1">
          <reference field="4294967294" count="3">
            <x v="1"/>
            <x v="2"/>
            <x v="3"/>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pivotHierarchy dragToData="1"/>
    <pivotHierarchy dragToData="1" caption="Average of Tenure"/>
    <pivotHierarchy dragToData="1" caption="Average of Salar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1A0C05-0F7D-495F-926B-0E64D8BF9141}"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1">
    <format dxfId="1">
      <pivotArea dataOnly="0" outline="0" fieldPosition="0">
        <references count="1">
          <reference field="4294967294" count="1">
            <x v="1"/>
          </reference>
        </references>
      </pivotArea>
    </format>
  </formats>
  <conditionalFormats count="1">
    <conditionalFormat priority="1">
      <pivotAreas count="1">
        <pivotArea outline="0" fieldPosition="0">
          <references count="1">
            <reference field="4294967294" count="1">
              <x v="1"/>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Salar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469C9F-4A6A-4CC0-900D-42C6CFB5D6C2}" name="PivotTable2"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3" format="6"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472C67-4147-46AC-A9FB-CEE40859C14E}" name="PivotTable4"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CB7A22-8426-405C-8FFA-EFDE01A97C4A}" name="PivotTable3" cacheId="1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E5A84B7-525A-4F94-B378-53EFD65EFDA8}"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1"/>
      <queryTableField id="11"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EAA3832-309F-44FF-94D4-CDD9F6B09DF4}" sourceName="[staff].[Country]">
  <pivotTables>
    <pivotTable tabId="5" name="PivotTable2"/>
  </pivotTables>
  <data>
    <olap pivotCacheId="1469593519">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7A58FE1-2005-4290-9E52-CA4516FC0F63}"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25A1E-361F-411C-9916-B38AB1FBFB1C}" name="nz_staff" displayName="nz_staff" ref="B3:H103" totalsRowShown="0">
  <autoFilter ref="B3:H103" xr:uid="{41B25A1E-361F-411C-9916-B38AB1FBFB1C}"/>
  <tableColumns count="7">
    <tableColumn id="1" xr3:uid="{D6ED8F3E-B173-4681-A4D5-829734D6787D}" name="Name"/>
    <tableColumn id="2" xr3:uid="{62329D64-3A6F-4400-943C-A3F42BE15927}" name="Gender"/>
    <tableColumn id="3" xr3:uid="{2C91B2FA-DEBF-44DD-957A-D676F07EDC1F}" name="Department"/>
    <tableColumn id="4" xr3:uid="{690A91C5-AF54-4B82-9DEB-8B797E74AACB}" name="Age"/>
    <tableColumn id="5" xr3:uid="{1A2CC58A-1F2C-4D38-B141-FBD90E5B524B}" name="Date Joined"/>
    <tableColumn id="6" xr3:uid="{788C29F4-7F30-4E64-A388-47C2EE6CE141}" name="Salary" dataDxfId="13"/>
    <tableColumn id="7" xr3:uid="{892C3244-3C7B-466A-9BD4-84173D73D6ED}"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470068-2C43-41E7-AD27-F06C67D66CFB}" name="india_staff" displayName="india_staff" ref="B3:H115" totalsRowShown="0">
  <autoFilter ref="B3:H115" xr:uid="{7A470068-2C43-41E7-AD27-F06C67D66CFB}"/>
  <tableColumns count="7">
    <tableColumn id="1" xr3:uid="{6D01ABF5-39BE-4FD7-A38C-B68217EDFFCE}" name="Name"/>
    <tableColumn id="2" xr3:uid="{AEC2FF85-BB45-4D63-BD1B-9D8D66213000}" name="Gender"/>
    <tableColumn id="3" xr3:uid="{AACC41DA-7997-46F9-A5CB-EE0258EE013B}" name="Age"/>
    <tableColumn id="4" xr3:uid="{8988B062-702F-48AE-BB3C-C9443223D5FF}" name="Rating"/>
    <tableColumn id="5" xr3:uid="{445A654F-CC39-4D22-ADB8-0A791BF30EAD}" name="Date Joined" dataDxfId="12"/>
    <tableColumn id="6" xr3:uid="{A31216E0-27EE-4C48-B1A3-212DF322656D}" name="Department"/>
    <tableColumn id="7" xr3:uid="{323D1BA9-A724-467E-8947-EA0B34854B97}" name="Salary" dataDxfId="1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678D981-EFE8-49D0-A1D9-3952ED016385}" name="staff" displayName="staff" ref="A1:K184" tableType="queryTable" totalsRowShown="0">
  <autoFilter ref="A1:K184" xr:uid="{F678D981-EFE8-49D0-A1D9-3952ED016385}"/>
  <sortState xmlns:xlrd2="http://schemas.microsoft.com/office/spreadsheetml/2017/richdata2" ref="A2:K184">
    <sortCondition ref="G1:G184"/>
  </sortState>
  <tableColumns count="11">
    <tableColumn id="1" xr3:uid="{9772FAFB-CB20-42F4-9DFE-BD9B5D61BE93}" uniqueName="1" name="Name" queryTableFieldId="1" dataDxfId="10"/>
    <tableColumn id="2" xr3:uid="{C64F4C3D-F654-4B34-9294-AB31959FF288}" uniqueName="2" name="Gender" queryTableFieldId="2" dataDxfId="9"/>
    <tableColumn id="3" xr3:uid="{E6EAAD75-AC0A-49FE-AA11-A9B698A76068}" uniqueName="3" name="Age" queryTableFieldId="3"/>
    <tableColumn id="4" xr3:uid="{B1A65AE3-2106-4E85-B540-989673941C09}" uniqueName="4" name="Rating" queryTableFieldId="4" dataDxfId="8"/>
    <tableColumn id="5" xr3:uid="{DD95361F-FB0E-449E-9482-2152E9EF6EDE}" uniqueName="5" name="Date Joined" queryTableFieldId="5" dataDxfId="7"/>
    <tableColumn id="6" xr3:uid="{AF78A26E-D3BE-449E-A391-BD406FAD726E}" uniqueName="6" name="Department" queryTableFieldId="6" dataDxfId="3"/>
    <tableColumn id="7" xr3:uid="{7B9E7662-0C07-4073-8EC2-B3469AB61378}" uniqueName="7" name="Salary" queryTableFieldId="7" dataDxfId="2"/>
    <tableColumn id="8" xr3:uid="{569073C0-A49C-4F55-AD4C-2498B19212C5}" uniqueName="8" name="Country" queryTableFieldId="8"/>
    <tableColumn id="9" xr3:uid="{4647050A-F967-45EF-9780-378AF56BE25F}" uniqueName="9" name="Tenure" queryTableFieldId="9" dataDxfId="5">
      <calculatedColumnFormula>(TODAY() -staff[[#This Row],[Date Joined]])/365</calculatedColumnFormula>
    </tableColumn>
    <tableColumn id="11" xr3:uid="{BD34531F-D4A8-48CB-9B00-A40A64EEECE5}" uniqueName="11" name="Bouns " queryTableFieldId="10" dataDxfId="4">
      <calculatedColumnFormula>ROUNDUP(IF(staff[[#This Row],[Tenure]]&gt;2,3%,2%)*staff[[#This Row],[Salary]],0)</calculatedColumnFormula>
    </tableColumn>
    <tableColumn id="12" xr3:uid="{364C77E8-3D60-44E0-ABA9-C1CADCBAAE46}" uniqueName="12" name="Rating as number" queryTableFieldId="11" dataDxfId="0">
      <calculatedColumnFormula>_xlfn.XLOOKUP(staff[[#This Row],[Rating]],'Salary vs. Rating'!$B$12:$B$16,'Salary vs. Rating'!$C$12:$C$16)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3.xm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H103"/>
  <sheetViews>
    <sheetView workbookViewId="0">
      <selection activeCell="J10" sqref="J10"/>
    </sheetView>
  </sheetViews>
  <sheetFormatPr defaultRowHeight="15" x14ac:dyDescent="0.25"/>
  <cols>
    <col min="1" max="1" width="2.7109375" customWidth="1"/>
    <col min="2" max="2" width="20.42578125" customWidth="1"/>
    <col min="3" max="3" width="10" bestFit="1" customWidth="1"/>
    <col min="4" max="4" width="14" bestFit="1" customWidth="1"/>
    <col min="5" max="5" width="6.7109375" bestFit="1" customWidth="1"/>
    <col min="6" max="6" width="13.7109375" bestFit="1" customWidth="1"/>
    <col min="7" max="7" width="9.28515625" bestFit="1" customWidth="1"/>
    <col min="8" max="9" width="14.28515625" bestFit="1" customWidth="1"/>
  </cols>
  <sheetData>
    <row r="1" spans="1:8" s="2" customFormat="1" ht="52.5" customHeight="1" x14ac:dyDescent="0.25">
      <c r="A1" s="1"/>
      <c r="B1" s="3" t="s">
        <v>252</v>
      </c>
    </row>
    <row r="3" spans="1:8" x14ac:dyDescent="0.25">
      <c r="B3" t="s">
        <v>0</v>
      </c>
      <c r="C3" t="s">
        <v>1</v>
      </c>
      <c r="D3" t="s">
        <v>2</v>
      </c>
      <c r="E3" t="s">
        <v>3</v>
      </c>
      <c r="F3" s="4" t="s">
        <v>4</v>
      </c>
      <c r="G3" t="s">
        <v>5</v>
      </c>
      <c r="H3" t="s">
        <v>6</v>
      </c>
    </row>
    <row r="4" spans="1:8" x14ac:dyDescent="0.25">
      <c r="B4" t="s">
        <v>58</v>
      </c>
      <c r="C4" t="s">
        <v>15</v>
      </c>
      <c r="D4" t="s">
        <v>19</v>
      </c>
      <c r="E4">
        <v>22</v>
      </c>
      <c r="F4" s="4">
        <v>44446</v>
      </c>
      <c r="G4" s="5">
        <v>112780</v>
      </c>
      <c r="H4" t="s">
        <v>13</v>
      </c>
    </row>
    <row r="5" spans="1:8" x14ac:dyDescent="0.25">
      <c r="B5" t="s">
        <v>70</v>
      </c>
      <c r="C5" t="s">
        <v>15</v>
      </c>
      <c r="D5" t="s">
        <v>9</v>
      </c>
      <c r="E5">
        <v>46</v>
      </c>
      <c r="F5" s="4">
        <v>44758</v>
      </c>
      <c r="G5" s="5">
        <v>70610</v>
      </c>
      <c r="H5" t="s">
        <v>16</v>
      </c>
    </row>
    <row r="6" spans="1:8" x14ac:dyDescent="0.25">
      <c r="B6" t="s">
        <v>75</v>
      </c>
      <c r="C6" t="s">
        <v>8</v>
      </c>
      <c r="D6" t="s">
        <v>19</v>
      </c>
      <c r="E6">
        <v>28</v>
      </c>
      <c r="F6" s="4">
        <v>44357</v>
      </c>
      <c r="G6" s="5">
        <v>53240</v>
      </c>
      <c r="H6" t="s">
        <v>16</v>
      </c>
    </row>
    <row r="7" spans="1:8" x14ac:dyDescent="0.25">
      <c r="B7" t="s">
        <v>49</v>
      </c>
      <c r="D7" t="s">
        <v>21</v>
      </c>
      <c r="E7">
        <v>37</v>
      </c>
      <c r="F7" s="4">
        <v>44146</v>
      </c>
      <c r="G7" s="5">
        <v>115440</v>
      </c>
      <c r="H7" t="s">
        <v>24</v>
      </c>
    </row>
    <row r="8" spans="1:8" x14ac:dyDescent="0.25">
      <c r="B8" t="s">
        <v>65</v>
      </c>
      <c r="C8" t="s">
        <v>15</v>
      </c>
      <c r="D8" t="s">
        <v>19</v>
      </c>
      <c r="E8">
        <v>32</v>
      </c>
      <c r="F8" s="4">
        <v>44465</v>
      </c>
      <c r="G8" s="5">
        <v>53540</v>
      </c>
      <c r="H8" t="s">
        <v>16</v>
      </c>
    </row>
    <row r="9" spans="1:8" x14ac:dyDescent="0.25">
      <c r="B9" t="s">
        <v>81</v>
      </c>
      <c r="C9" t="s">
        <v>8</v>
      </c>
      <c r="D9" t="s">
        <v>9</v>
      </c>
      <c r="E9">
        <v>30</v>
      </c>
      <c r="F9" s="4">
        <v>44861</v>
      </c>
      <c r="G9" s="5">
        <v>112570</v>
      </c>
      <c r="H9" t="s">
        <v>16</v>
      </c>
    </row>
    <row r="10" spans="1:8" x14ac:dyDescent="0.25">
      <c r="B10" t="s">
        <v>51</v>
      </c>
      <c r="C10" t="s">
        <v>15</v>
      </c>
      <c r="D10" t="s">
        <v>9</v>
      </c>
      <c r="E10">
        <v>33</v>
      </c>
      <c r="F10" s="4">
        <v>44701</v>
      </c>
      <c r="G10" s="5">
        <v>48530</v>
      </c>
      <c r="H10" t="s">
        <v>13</v>
      </c>
    </row>
    <row r="11" spans="1:8" x14ac:dyDescent="0.25">
      <c r="B11" t="s">
        <v>61</v>
      </c>
      <c r="C11" t="s">
        <v>8</v>
      </c>
      <c r="D11" t="s">
        <v>12</v>
      </c>
      <c r="E11">
        <v>24</v>
      </c>
      <c r="F11" s="4">
        <v>44148</v>
      </c>
      <c r="G11" s="5">
        <v>62780</v>
      </c>
      <c r="H11" t="s">
        <v>16</v>
      </c>
    </row>
    <row r="12" spans="1:8" x14ac:dyDescent="0.25">
      <c r="B12" t="s">
        <v>82</v>
      </c>
      <c r="C12" t="s">
        <v>15</v>
      </c>
      <c r="D12" t="s">
        <v>12</v>
      </c>
      <c r="E12">
        <v>33</v>
      </c>
      <c r="F12" s="4">
        <v>44509</v>
      </c>
      <c r="G12" s="5">
        <v>53870</v>
      </c>
      <c r="H12" t="s">
        <v>16</v>
      </c>
    </row>
    <row r="13" spans="1:8" x14ac:dyDescent="0.25">
      <c r="B13" t="s">
        <v>60</v>
      </c>
      <c r="C13" t="s">
        <v>8</v>
      </c>
      <c r="D13" t="s">
        <v>56</v>
      </c>
      <c r="E13">
        <v>27</v>
      </c>
      <c r="F13" s="4">
        <v>44122</v>
      </c>
      <c r="G13" s="5">
        <v>119110</v>
      </c>
      <c r="H13" t="s">
        <v>16</v>
      </c>
    </row>
    <row r="14" spans="1:8" x14ac:dyDescent="0.25">
      <c r="B14" t="s">
        <v>87</v>
      </c>
      <c r="C14" t="s">
        <v>15</v>
      </c>
      <c r="D14" t="s">
        <v>12</v>
      </c>
      <c r="E14">
        <v>29</v>
      </c>
      <c r="F14" s="4">
        <v>44180</v>
      </c>
      <c r="G14" s="5">
        <v>112110</v>
      </c>
      <c r="H14" t="s">
        <v>24</v>
      </c>
    </row>
    <row r="15" spans="1:8" x14ac:dyDescent="0.25">
      <c r="B15" t="s">
        <v>76</v>
      </c>
      <c r="C15" t="s">
        <v>15</v>
      </c>
      <c r="D15" t="s">
        <v>19</v>
      </c>
      <c r="E15">
        <v>25</v>
      </c>
      <c r="F15" s="4">
        <v>44383</v>
      </c>
      <c r="G15" s="5">
        <v>65700</v>
      </c>
      <c r="H15" t="s">
        <v>16</v>
      </c>
    </row>
    <row r="16" spans="1:8" x14ac:dyDescent="0.25">
      <c r="B16" t="s">
        <v>97</v>
      </c>
      <c r="C16" t="s">
        <v>15</v>
      </c>
      <c r="D16" t="s">
        <v>12</v>
      </c>
      <c r="E16">
        <v>37</v>
      </c>
      <c r="F16" s="4">
        <v>44701</v>
      </c>
      <c r="G16" s="5">
        <v>69070</v>
      </c>
      <c r="H16" t="s">
        <v>16</v>
      </c>
    </row>
    <row r="17" spans="2:8" x14ac:dyDescent="0.25">
      <c r="B17" t="s">
        <v>22</v>
      </c>
      <c r="C17" t="s">
        <v>15</v>
      </c>
      <c r="D17" t="s">
        <v>12</v>
      </c>
      <c r="E17">
        <v>20</v>
      </c>
      <c r="F17" s="4">
        <v>44459</v>
      </c>
      <c r="G17" s="5">
        <v>107700</v>
      </c>
      <c r="H17" t="s">
        <v>16</v>
      </c>
    </row>
    <row r="18" spans="2:8" x14ac:dyDescent="0.25">
      <c r="B18" t="s">
        <v>84</v>
      </c>
      <c r="C18" t="s">
        <v>8</v>
      </c>
      <c r="D18" t="s">
        <v>12</v>
      </c>
      <c r="E18">
        <v>32</v>
      </c>
      <c r="F18" s="4">
        <v>44354</v>
      </c>
      <c r="G18" s="5">
        <v>43840</v>
      </c>
      <c r="H18" t="s">
        <v>13</v>
      </c>
    </row>
    <row r="19" spans="2:8" x14ac:dyDescent="0.25">
      <c r="B19" t="s">
        <v>105</v>
      </c>
      <c r="C19" t="s">
        <v>15</v>
      </c>
      <c r="D19" t="s">
        <v>9</v>
      </c>
      <c r="E19">
        <v>40</v>
      </c>
      <c r="F19" s="4">
        <v>44263</v>
      </c>
      <c r="G19" s="5">
        <v>99750</v>
      </c>
      <c r="H19" t="s">
        <v>16</v>
      </c>
    </row>
    <row r="20" spans="2:8" x14ac:dyDescent="0.25">
      <c r="B20" t="s">
        <v>47</v>
      </c>
      <c r="C20" t="s">
        <v>15</v>
      </c>
      <c r="D20" t="s">
        <v>9</v>
      </c>
      <c r="E20">
        <v>21</v>
      </c>
      <c r="F20" s="4">
        <v>44104</v>
      </c>
      <c r="G20" s="5">
        <v>37920</v>
      </c>
      <c r="H20" t="s">
        <v>16</v>
      </c>
    </row>
    <row r="21" spans="2:8" x14ac:dyDescent="0.25">
      <c r="B21" t="s">
        <v>31</v>
      </c>
      <c r="C21" t="s">
        <v>15</v>
      </c>
      <c r="D21" t="s">
        <v>9</v>
      </c>
      <c r="E21">
        <v>21</v>
      </c>
      <c r="F21" s="4">
        <v>44762</v>
      </c>
      <c r="G21" s="5">
        <v>57090</v>
      </c>
      <c r="H21" t="s">
        <v>16</v>
      </c>
    </row>
    <row r="22" spans="2:8" x14ac:dyDescent="0.25">
      <c r="B22" t="s">
        <v>30</v>
      </c>
      <c r="C22" t="s">
        <v>8</v>
      </c>
      <c r="D22" t="s">
        <v>12</v>
      </c>
      <c r="E22">
        <v>31</v>
      </c>
      <c r="F22" s="4">
        <v>44145</v>
      </c>
      <c r="G22" s="5">
        <v>41980</v>
      </c>
      <c r="H22" t="s">
        <v>16</v>
      </c>
    </row>
    <row r="23" spans="2:8" x14ac:dyDescent="0.25">
      <c r="B23" t="s">
        <v>78</v>
      </c>
      <c r="C23" t="s">
        <v>15</v>
      </c>
      <c r="D23" t="s">
        <v>56</v>
      </c>
      <c r="E23">
        <v>21</v>
      </c>
      <c r="F23" s="4">
        <v>44242</v>
      </c>
      <c r="G23" s="5">
        <v>75880</v>
      </c>
      <c r="H23" t="s">
        <v>16</v>
      </c>
    </row>
    <row r="24" spans="2:8" x14ac:dyDescent="0.25">
      <c r="B24" t="s">
        <v>36</v>
      </c>
      <c r="C24" t="s">
        <v>8</v>
      </c>
      <c r="D24" t="s">
        <v>21</v>
      </c>
      <c r="E24">
        <v>34</v>
      </c>
      <c r="F24" s="4">
        <v>44653</v>
      </c>
      <c r="G24" s="5">
        <v>58940</v>
      </c>
      <c r="H24" t="s">
        <v>16</v>
      </c>
    </row>
    <row r="25" spans="2:8" x14ac:dyDescent="0.25">
      <c r="B25" t="s">
        <v>27</v>
      </c>
      <c r="C25" t="s">
        <v>8</v>
      </c>
      <c r="D25" t="s">
        <v>21</v>
      </c>
      <c r="E25">
        <v>30</v>
      </c>
      <c r="F25" s="4">
        <v>44389</v>
      </c>
      <c r="G25" s="5">
        <v>67910</v>
      </c>
      <c r="H25" t="s">
        <v>24</v>
      </c>
    </row>
    <row r="26" spans="2:8" x14ac:dyDescent="0.25">
      <c r="B26" t="s">
        <v>26</v>
      </c>
      <c r="C26" t="s">
        <v>8</v>
      </c>
      <c r="D26" t="s">
        <v>12</v>
      </c>
      <c r="E26">
        <v>31</v>
      </c>
      <c r="F26" s="4">
        <v>44663</v>
      </c>
      <c r="G26" s="5">
        <v>58100</v>
      </c>
      <c r="H26" t="s">
        <v>16</v>
      </c>
    </row>
    <row r="27" spans="2:8" x14ac:dyDescent="0.25">
      <c r="B27" t="s">
        <v>53</v>
      </c>
      <c r="C27" t="s">
        <v>15</v>
      </c>
      <c r="D27" t="s">
        <v>21</v>
      </c>
      <c r="E27">
        <v>27</v>
      </c>
      <c r="F27" s="4">
        <v>44567</v>
      </c>
      <c r="G27" s="5">
        <v>48980</v>
      </c>
      <c r="H27" t="s">
        <v>16</v>
      </c>
    </row>
    <row r="28" spans="2:8" x14ac:dyDescent="0.25">
      <c r="B28" t="s">
        <v>20</v>
      </c>
      <c r="D28" t="s">
        <v>21</v>
      </c>
      <c r="E28">
        <v>30</v>
      </c>
      <c r="F28" s="4">
        <v>44597</v>
      </c>
      <c r="G28" s="5">
        <v>64000</v>
      </c>
      <c r="H28" t="s">
        <v>16</v>
      </c>
    </row>
    <row r="29" spans="2:8" x14ac:dyDescent="0.25">
      <c r="B29" t="s">
        <v>7</v>
      </c>
      <c r="C29" t="s">
        <v>8</v>
      </c>
      <c r="D29" t="s">
        <v>9</v>
      </c>
      <c r="E29">
        <v>42</v>
      </c>
      <c r="F29" s="4">
        <v>44779</v>
      </c>
      <c r="G29" s="5">
        <v>75000</v>
      </c>
      <c r="H29" t="s">
        <v>10</v>
      </c>
    </row>
    <row r="30" spans="2:8" x14ac:dyDescent="0.25">
      <c r="B30" t="s">
        <v>74</v>
      </c>
      <c r="C30" t="s">
        <v>8</v>
      </c>
      <c r="D30" t="s">
        <v>12</v>
      </c>
      <c r="E30">
        <v>40</v>
      </c>
      <c r="F30" s="4">
        <v>44337</v>
      </c>
      <c r="G30" s="5">
        <v>87620</v>
      </c>
      <c r="H30" t="s">
        <v>16</v>
      </c>
    </row>
    <row r="31" spans="2:8" x14ac:dyDescent="0.25">
      <c r="B31" t="s">
        <v>44</v>
      </c>
      <c r="C31" t="s">
        <v>8</v>
      </c>
      <c r="D31" t="s">
        <v>12</v>
      </c>
      <c r="E31">
        <v>29</v>
      </c>
      <c r="F31" s="4">
        <v>44023</v>
      </c>
      <c r="G31" s="5">
        <v>34980</v>
      </c>
      <c r="H31" t="s">
        <v>16</v>
      </c>
    </row>
    <row r="32" spans="2:8" x14ac:dyDescent="0.25">
      <c r="B32" t="s">
        <v>35</v>
      </c>
      <c r="C32" t="s">
        <v>8</v>
      </c>
      <c r="D32" t="s">
        <v>21</v>
      </c>
      <c r="E32">
        <v>28</v>
      </c>
      <c r="F32" s="4">
        <v>44185</v>
      </c>
      <c r="G32" s="5">
        <v>75970</v>
      </c>
      <c r="H32" t="s">
        <v>16</v>
      </c>
    </row>
    <row r="33" spans="2:8" x14ac:dyDescent="0.25">
      <c r="B33" t="s">
        <v>38</v>
      </c>
      <c r="C33" t="s">
        <v>8</v>
      </c>
      <c r="D33" t="s">
        <v>21</v>
      </c>
      <c r="E33">
        <v>34</v>
      </c>
      <c r="F33" s="4">
        <v>44612</v>
      </c>
      <c r="G33" s="5">
        <v>60130</v>
      </c>
      <c r="H33" t="s">
        <v>16</v>
      </c>
    </row>
    <row r="34" spans="2:8" x14ac:dyDescent="0.25">
      <c r="B34" t="s">
        <v>41</v>
      </c>
      <c r="C34" t="s">
        <v>8</v>
      </c>
      <c r="D34" t="s">
        <v>12</v>
      </c>
      <c r="E34">
        <v>33</v>
      </c>
      <c r="F34" s="4">
        <v>44374</v>
      </c>
      <c r="G34" s="5">
        <v>75480</v>
      </c>
      <c r="H34" t="s">
        <v>42</v>
      </c>
    </row>
    <row r="35" spans="2:8" x14ac:dyDescent="0.25">
      <c r="B35" t="s">
        <v>40</v>
      </c>
      <c r="C35" t="s">
        <v>15</v>
      </c>
      <c r="D35" t="s">
        <v>9</v>
      </c>
      <c r="E35">
        <v>33</v>
      </c>
      <c r="F35" s="4">
        <v>44164</v>
      </c>
      <c r="G35" s="5">
        <v>115920</v>
      </c>
      <c r="H35" t="s">
        <v>16</v>
      </c>
    </row>
    <row r="36" spans="2:8" x14ac:dyDescent="0.25">
      <c r="B36" t="s">
        <v>48</v>
      </c>
      <c r="C36" t="s">
        <v>8</v>
      </c>
      <c r="D36" t="s">
        <v>19</v>
      </c>
      <c r="E36">
        <v>36</v>
      </c>
      <c r="F36" s="4">
        <v>44494</v>
      </c>
      <c r="G36" s="5">
        <v>78540</v>
      </c>
      <c r="H36" t="s">
        <v>16</v>
      </c>
    </row>
    <row r="37" spans="2:8" x14ac:dyDescent="0.25">
      <c r="B37" t="s">
        <v>34</v>
      </c>
      <c r="C37" t="s">
        <v>15</v>
      </c>
      <c r="D37" t="s">
        <v>9</v>
      </c>
      <c r="E37">
        <v>25</v>
      </c>
      <c r="F37" s="4">
        <v>44726</v>
      </c>
      <c r="G37" s="5">
        <v>109190</v>
      </c>
      <c r="H37" t="s">
        <v>13</v>
      </c>
    </row>
    <row r="38" spans="2:8" x14ac:dyDescent="0.25">
      <c r="B38" t="s">
        <v>73</v>
      </c>
      <c r="C38" t="s">
        <v>8</v>
      </c>
      <c r="D38" t="s">
        <v>19</v>
      </c>
      <c r="E38">
        <v>34</v>
      </c>
      <c r="F38" s="4">
        <v>44721</v>
      </c>
      <c r="G38" s="5">
        <v>49630</v>
      </c>
      <c r="H38" t="s">
        <v>24</v>
      </c>
    </row>
    <row r="39" spans="2:8" x14ac:dyDescent="0.25">
      <c r="B39" t="s">
        <v>107</v>
      </c>
      <c r="C39" t="s">
        <v>8</v>
      </c>
      <c r="D39" t="s">
        <v>9</v>
      </c>
      <c r="E39">
        <v>28</v>
      </c>
      <c r="F39" s="4">
        <v>44630</v>
      </c>
      <c r="G39" s="5">
        <v>99970</v>
      </c>
      <c r="H39" t="s">
        <v>16</v>
      </c>
    </row>
    <row r="40" spans="2:8" x14ac:dyDescent="0.25">
      <c r="B40" t="s">
        <v>71</v>
      </c>
      <c r="C40" t="s">
        <v>8</v>
      </c>
      <c r="D40" t="s">
        <v>12</v>
      </c>
      <c r="E40">
        <v>33</v>
      </c>
      <c r="F40" s="4">
        <v>44190</v>
      </c>
      <c r="G40" s="5">
        <v>96140</v>
      </c>
      <c r="H40" t="s">
        <v>16</v>
      </c>
    </row>
    <row r="41" spans="2:8" x14ac:dyDescent="0.25">
      <c r="B41" t="s">
        <v>50</v>
      </c>
      <c r="C41" t="s">
        <v>15</v>
      </c>
      <c r="D41" t="s">
        <v>9</v>
      </c>
      <c r="E41">
        <v>31</v>
      </c>
      <c r="F41" s="4">
        <v>44724</v>
      </c>
      <c r="G41" s="5">
        <v>103550</v>
      </c>
      <c r="H41" t="s">
        <v>16</v>
      </c>
    </row>
    <row r="42" spans="2:8" x14ac:dyDescent="0.25">
      <c r="B42" t="s">
        <v>14</v>
      </c>
      <c r="C42" t="s">
        <v>15</v>
      </c>
      <c r="D42" t="s">
        <v>12</v>
      </c>
      <c r="E42">
        <v>31</v>
      </c>
      <c r="F42" s="4">
        <v>44511</v>
      </c>
      <c r="G42" s="5">
        <v>48950</v>
      </c>
      <c r="H42" t="s">
        <v>16</v>
      </c>
    </row>
    <row r="43" spans="2:8" x14ac:dyDescent="0.25">
      <c r="B43" t="s">
        <v>63</v>
      </c>
      <c r="C43" t="s">
        <v>15</v>
      </c>
      <c r="D43" t="s">
        <v>21</v>
      </c>
      <c r="E43">
        <v>24</v>
      </c>
      <c r="F43" s="4">
        <v>44436</v>
      </c>
      <c r="G43" s="5">
        <v>52610</v>
      </c>
      <c r="H43" t="s">
        <v>24</v>
      </c>
    </row>
    <row r="44" spans="2:8" x14ac:dyDescent="0.25">
      <c r="B44" t="s">
        <v>72</v>
      </c>
      <c r="C44" t="s">
        <v>8</v>
      </c>
      <c r="D44" t="s">
        <v>9</v>
      </c>
      <c r="E44">
        <v>36</v>
      </c>
      <c r="F44" s="4">
        <v>44529</v>
      </c>
      <c r="G44" s="5">
        <v>78390</v>
      </c>
      <c r="H44" t="s">
        <v>16</v>
      </c>
    </row>
    <row r="45" spans="2:8" x14ac:dyDescent="0.25">
      <c r="B45" t="s">
        <v>88</v>
      </c>
      <c r="C45" t="s">
        <v>8</v>
      </c>
      <c r="D45" t="s">
        <v>21</v>
      </c>
      <c r="E45">
        <v>33</v>
      </c>
      <c r="F45" s="4">
        <v>44809</v>
      </c>
      <c r="G45" s="5">
        <v>86570</v>
      </c>
      <c r="H45" t="s">
        <v>16</v>
      </c>
    </row>
    <row r="46" spans="2:8" x14ac:dyDescent="0.25">
      <c r="B46" t="s">
        <v>92</v>
      </c>
      <c r="C46" t="s">
        <v>8</v>
      </c>
      <c r="D46" t="s">
        <v>12</v>
      </c>
      <c r="E46">
        <v>27</v>
      </c>
      <c r="F46" s="4">
        <v>44686</v>
      </c>
      <c r="G46" s="5">
        <v>83750</v>
      </c>
      <c r="H46" t="s">
        <v>16</v>
      </c>
    </row>
    <row r="47" spans="2:8" x14ac:dyDescent="0.25">
      <c r="B47" t="s">
        <v>102</v>
      </c>
      <c r="C47" t="s">
        <v>8</v>
      </c>
      <c r="D47" t="s">
        <v>21</v>
      </c>
      <c r="E47">
        <v>34</v>
      </c>
      <c r="F47" s="4">
        <v>44445</v>
      </c>
      <c r="G47" s="5">
        <v>92450</v>
      </c>
      <c r="H47" t="s">
        <v>16</v>
      </c>
    </row>
    <row r="48" spans="2:8" x14ac:dyDescent="0.25">
      <c r="B48" t="s">
        <v>64</v>
      </c>
      <c r="C48" t="s">
        <v>15</v>
      </c>
      <c r="D48" t="s">
        <v>12</v>
      </c>
      <c r="E48">
        <v>20</v>
      </c>
      <c r="F48" s="4">
        <v>44183</v>
      </c>
      <c r="G48" s="5">
        <v>112650</v>
      </c>
      <c r="H48" t="s">
        <v>16</v>
      </c>
    </row>
    <row r="49" spans="2:8" x14ac:dyDescent="0.25">
      <c r="B49" t="s">
        <v>104</v>
      </c>
      <c r="C49" t="s">
        <v>15</v>
      </c>
      <c r="D49" t="s">
        <v>9</v>
      </c>
      <c r="E49">
        <v>20</v>
      </c>
      <c r="F49" s="4">
        <v>44744</v>
      </c>
      <c r="G49" s="5">
        <v>79570</v>
      </c>
      <c r="H49" t="s">
        <v>16</v>
      </c>
    </row>
    <row r="50" spans="2:8" x14ac:dyDescent="0.25">
      <c r="B50" t="s">
        <v>91</v>
      </c>
      <c r="C50" t="s">
        <v>8</v>
      </c>
      <c r="D50" t="s">
        <v>19</v>
      </c>
      <c r="E50">
        <v>20</v>
      </c>
      <c r="F50" s="4">
        <v>44537</v>
      </c>
      <c r="G50" s="5">
        <v>68900</v>
      </c>
      <c r="H50" t="s">
        <v>24</v>
      </c>
    </row>
    <row r="51" spans="2:8" x14ac:dyDescent="0.25">
      <c r="B51" t="s">
        <v>39</v>
      </c>
      <c r="C51" t="s">
        <v>8</v>
      </c>
      <c r="D51" t="s">
        <v>12</v>
      </c>
      <c r="E51">
        <v>25</v>
      </c>
      <c r="F51" s="4">
        <v>44694</v>
      </c>
      <c r="G51" s="5">
        <v>80700</v>
      </c>
      <c r="H51" t="s">
        <v>13</v>
      </c>
    </row>
    <row r="52" spans="2:8" x14ac:dyDescent="0.25">
      <c r="B52" t="s">
        <v>100</v>
      </c>
      <c r="C52" t="s">
        <v>15</v>
      </c>
      <c r="D52" t="s">
        <v>9</v>
      </c>
      <c r="E52">
        <v>19</v>
      </c>
      <c r="F52" s="4">
        <v>44277</v>
      </c>
      <c r="G52" s="5">
        <v>58960</v>
      </c>
      <c r="H52" t="s">
        <v>16</v>
      </c>
    </row>
    <row r="53" spans="2:8" x14ac:dyDescent="0.25">
      <c r="B53" t="s">
        <v>106</v>
      </c>
      <c r="C53" t="s">
        <v>15</v>
      </c>
      <c r="D53" t="s">
        <v>12</v>
      </c>
      <c r="E53">
        <v>36</v>
      </c>
      <c r="F53" s="4">
        <v>44019</v>
      </c>
      <c r="G53" s="5">
        <v>118840</v>
      </c>
      <c r="H53" t="s">
        <v>16</v>
      </c>
    </row>
    <row r="54" spans="2:8" x14ac:dyDescent="0.25">
      <c r="B54" t="s">
        <v>29</v>
      </c>
      <c r="C54" t="s">
        <v>15</v>
      </c>
      <c r="D54" t="s">
        <v>21</v>
      </c>
      <c r="E54">
        <v>28</v>
      </c>
      <c r="F54" s="4">
        <v>44041</v>
      </c>
      <c r="G54" s="5">
        <v>48170</v>
      </c>
      <c r="H54" t="s">
        <v>13</v>
      </c>
    </row>
    <row r="55" spans="2:8" x14ac:dyDescent="0.25">
      <c r="B55" t="s">
        <v>108</v>
      </c>
      <c r="C55" t="s">
        <v>8</v>
      </c>
      <c r="D55" t="s">
        <v>56</v>
      </c>
      <c r="E55">
        <v>32</v>
      </c>
      <c r="F55" s="4">
        <v>44400</v>
      </c>
      <c r="G55" s="5">
        <v>45510</v>
      </c>
      <c r="H55" t="s">
        <v>16</v>
      </c>
    </row>
    <row r="56" spans="2:8" x14ac:dyDescent="0.25">
      <c r="B56" t="s">
        <v>64</v>
      </c>
      <c r="C56" t="s">
        <v>15</v>
      </c>
      <c r="D56" t="s">
        <v>9</v>
      </c>
      <c r="E56">
        <v>34</v>
      </c>
      <c r="F56" s="4">
        <v>44703</v>
      </c>
      <c r="G56" s="5">
        <v>112650</v>
      </c>
      <c r="H56" t="s">
        <v>16</v>
      </c>
    </row>
    <row r="57" spans="2:8" x14ac:dyDescent="0.25">
      <c r="B57" t="s">
        <v>83</v>
      </c>
      <c r="C57" t="s">
        <v>8</v>
      </c>
      <c r="D57" t="s">
        <v>9</v>
      </c>
      <c r="E57">
        <v>36</v>
      </c>
      <c r="F57" s="4">
        <v>44085</v>
      </c>
      <c r="G57" s="5">
        <v>114890</v>
      </c>
      <c r="H57" t="s">
        <v>16</v>
      </c>
    </row>
    <row r="58" spans="2:8" x14ac:dyDescent="0.25">
      <c r="B58" t="s">
        <v>67</v>
      </c>
      <c r="C58" t="s">
        <v>15</v>
      </c>
      <c r="D58" t="s">
        <v>12</v>
      </c>
      <c r="E58">
        <v>30</v>
      </c>
      <c r="F58" s="4">
        <v>44850</v>
      </c>
      <c r="G58" s="5">
        <v>69710</v>
      </c>
      <c r="H58" t="s">
        <v>16</v>
      </c>
    </row>
    <row r="59" spans="2:8" x14ac:dyDescent="0.25">
      <c r="B59" t="s">
        <v>94</v>
      </c>
      <c r="C59" t="s">
        <v>15</v>
      </c>
      <c r="D59" t="s">
        <v>21</v>
      </c>
      <c r="E59">
        <v>36</v>
      </c>
      <c r="F59" s="4">
        <v>44333</v>
      </c>
      <c r="G59" s="5">
        <v>71380</v>
      </c>
      <c r="H59" t="s">
        <v>16</v>
      </c>
    </row>
    <row r="60" spans="2:8" x14ac:dyDescent="0.25">
      <c r="B60" t="s">
        <v>33</v>
      </c>
      <c r="C60" t="s">
        <v>8</v>
      </c>
      <c r="D60" t="s">
        <v>19</v>
      </c>
      <c r="E60">
        <v>38</v>
      </c>
      <c r="F60" s="4">
        <v>44377</v>
      </c>
      <c r="G60" s="5">
        <v>109160</v>
      </c>
      <c r="H60" t="s">
        <v>10</v>
      </c>
    </row>
    <row r="61" spans="2:8" x14ac:dyDescent="0.25">
      <c r="B61" t="s">
        <v>98</v>
      </c>
      <c r="C61" t="s">
        <v>15</v>
      </c>
      <c r="D61" t="s">
        <v>9</v>
      </c>
      <c r="E61">
        <v>27</v>
      </c>
      <c r="F61" s="4">
        <v>44609</v>
      </c>
      <c r="G61" s="5">
        <v>113280</v>
      </c>
      <c r="H61" t="s">
        <v>42</v>
      </c>
    </row>
    <row r="62" spans="2:8" x14ac:dyDescent="0.25">
      <c r="B62" t="s">
        <v>25</v>
      </c>
      <c r="C62" t="s">
        <v>15</v>
      </c>
      <c r="D62" t="s">
        <v>12</v>
      </c>
      <c r="E62">
        <v>30</v>
      </c>
      <c r="F62" s="4">
        <v>44273</v>
      </c>
      <c r="G62" s="5">
        <v>69120</v>
      </c>
      <c r="H62" t="s">
        <v>16</v>
      </c>
    </row>
    <row r="63" spans="2:8" x14ac:dyDescent="0.25">
      <c r="B63" t="s">
        <v>55</v>
      </c>
      <c r="C63" t="s">
        <v>8</v>
      </c>
      <c r="D63" t="s">
        <v>56</v>
      </c>
      <c r="E63">
        <v>37</v>
      </c>
      <c r="F63" s="4">
        <v>44451</v>
      </c>
      <c r="G63" s="5">
        <v>118100</v>
      </c>
      <c r="H63" t="s">
        <v>16</v>
      </c>
    </row>
    <row r="64" spans="2:8" x14ac:dyDescent="0.25">
      <c r="B64" t="s">
        <v>62</v>
      </c>
      <c r="C64" t="s">
        <v>8</v>
      </c>
      <c r="D64" t="s">
        <v>9</v>
      </c>
      <c r="E64">
        <v>22</v>
      </c>
      <c r="F64" s="4">
        <v>44450</v>
      </c>
      <c r="G64" s="5">
        <v>76900</v>
      </c>
      <c r="H64" t="s">
        <v>13</v>
      </c>
    </row>
    <row r="65" spans="2:8" x14ac:dyDescent="0.25">
      <c r="B65" t="s">
        <v>17</v>
      </c>
      <c r="C65" t="s">
        <v>8</v>
      </c>
      <c r="D65" t="s">
        <v>12</v>
      </c>
      <c r="E65">
        <v>43</v>
      </c>
      <c r="F65" s="4">
        <v>45045</v>
      </c>
      <c r="G65" s="5">
        <v>114870</v>
      </c>
      <c r="H65" t="s">
        <v>16</v>
      </c>
    </row>
    <row r="66" spans="2:8" x14ac:dyDescent="0.25">
      <c r="B66" t="s">
        <v>52</v>
      </c>
      <c r="D66" t="s">
        <v>12</v>
      </c>
      <c r="E66">
        <v>32</v>
      </c>
      <c r="F66" s="4">
        <v>44774</v>
      </c>
      <c r="G66" s="5">
        <v>91310</v>
      </c>
      <c r="H66" t="s">
        <v>16</v>
      </c>
    </row>
    <row r="67" spans="2:8" x14ac:dyDescent="0.25">
      <c r="B67" t="s">
        <v>43</v>
      </c>
      <c r="C67" t="s">
        <v>8</v>
      </c>
      <c r="D67" t="s">
        <v>9</v>
      </c>
      <c r="E67">
        <v>28</v>
      </c>
      <c r="F67" s="4">
        <v>44486</v>
      </c>
      <c r="G67" s="5">
        <v>104770</v>
      </c>
      <c r="H67" t="s">
        <v>16</v>
      </c>
    </row>
    <row r="68" spans="2:8" x14ac:dyDescent="0.25">
      <c r="B68" t="s">
        <v>89</v>
      </c>
      <c r="C68" t="s">
        <v>15</v>
      </c>
      <c r="D68" t="s">
        <v>19</v>
      </c>
      <c r="E68">
        <v>27</v>
      </c>
      <c r="F68" s="4">
        <v>44134</v>
      </c>
      <c r="G68" s="5">
        <v>54970</v>
      </c>
      <c r="H68" t="s">
        <v>16</v>
      </c>
    </row>
    <row r="69" spans="2:8" x14ac:dyDescent="0.25">
      <c r="B69" t="s">
        <v>11</v>
      </c>
      <c r="D69" t="s">
        <v>12</v>
      </c>
      <c r="E69">
        <v>26</v>
      </c>
      <c r="F69" s="4">
        <v>44271</v>
      </c>
      <c r="G69" s="5">
        <v>90700</v>
      </c>
      <c r="H69" t="s">
        <v>13</v>
      </c>
    </row>
    <row r="70" spans="2:8" x14ac:dyDescent="0.25">
      <c r="B70" t="s">
        <v>109</v>
      </c>
      <c r="C70" t="s">
        <v>8</v>
      </c>
      <c r="D70" t="s">
        <v>19</v>
      </c>
      <c r="E70">
        <v>38</v>
      </c>
      <c r="F70" s="4">
        <v>44329</v>
      </c>
      <c r="G70" s="5">
        <v>56870</v>
      </c>
      <c r="H70" t="s">
        <v>13</v>
      </c>
    </row>
    <row r="71" spans="2:8" x14ac:dyDescent="0.25">
      <c r="B71" t="s">
        <v>77</v>
      </c>
      <c r="C71" t="s">
        <v>8</v>
      </c>
      <c r="D71" t="s">
        <v>19</v>
      </c>
      <c r="E71">
        <v>25</v>
      </c>
      <c r="F71" s="4">
        <v>44205</v>
      </c>
      <c r="G71" s="5">
        <v>92700</v>
      </c>
      <c r="H71" t="s">
        <v>16</v>
      </c>
    </row>
    <row r="72" spans="2:8" x14ac:dyDescent="0.25">
      <c r="B72" t="s">
        <v>32</v>
      </c>
      <c r="C72" t="s">
        <v>8</v>
      </c>
      <c r="D72" t="s">
        <v>21</v>
      </c>
      <c r="E72">
        <v>21</v>
      </c>
      <c r="F72" s="4">
        <v>44317</v>
      </c>
      <c r="G72" s="5">
        <v>65920</v>
      </c>
      <c r="H72" t="s">
        <v>16</v>
      </c>
    </row>
    <row r="73" spans="2:8" x14ac:dyDescent="0.25">
      <c r="B73" t="s">
        <v>59</v>
      </c>
      <c r="C73" t="s">
        <v>15</v>
      </c>
      <c r="D73" t="s">
        <v>9</v>
      </c>
      <c r="E73">
        <v>26</v>
      </c>
      <c r="F73" s="4">
        <v>44225</v>
      </c>
      <c r="G73" s="5">
        <v>47360</v>
      </c>
      <c r="H73" t="s">
        <v>16</v>
      </c>
    </row>
    <row r="74" spans="2:8" x14ac:dyDescent="0.25">
      <c r="B74" t="s">
        <v>37</v>
      </c>
      <c r="C74" t="s">
        <v>15</v>
      </c>
      <c r="D74" t="s">
        <v>9</v>
      </c>
      <c r="E74">
        <v>30</v>
      </c>
      <c r="F74" s="4">
        <v>44666</v>
      </c>
      <c r="G74" s="5">
        <v>60570</v>
      </c>
      <c r="H74" t="s">
        <v>16</v>
      </c>
    </row>
    <row r="75" spans="2:8" x14ac:dyDescent="0.25">
      <c r="B75" t="s">
        <v>96</v>
      </c>
      <c r="C75" t="s">
        <v>8</v>
      </c>
      <c r="D75" t="s">
        <v>9</v>
      </c>
      <c r="E75">
        <v>28</v>
      </c>
      <c r="F75" s="4">
        <v>44649</v>
      </c>
      <c r="G75" s="5">
        <v>104120</v>
      </c>
      <c r="H75" t="s">
        <v>16</v>
      </c>
    </row>
    <row r="76" spans="2:8" x14ac:dyDescent="0.25">
      <c r="B76" t="s">
        <v>23</v>
      </c>
      <c r="C76" t="s">
        <v>15</v>
      </c>
      <c r="D76" t="s">
        <v>12</v>
      </c>
      <c r="E76">
        <v>37</v>
      </c>
      <c r="F76" s="4">
        <v>44338</v>
      </c>
      <c r="G76" s="5">
        <v>88050</v>
      </c>
      <c r="H76" t="s">
        <v>24</v>
      </c>
    </row>
    <row r="77" spans="2:8" x14ac:dyDescent="0.25">
      <c r="B77" t="s">
        <v>103</v>
      </c>
      <c r="C77" t="s">
        <v>15</v>
      </c>
      <c r="D77" t="s">
        <v>12</v>
      </c>
      <c r="E77">
        <v>24</v>
      </c>
      <c r="F77" s="4">
        <v>44686</v>
      </c>
      <c r="G77" s="5">
        <v>100420</v>
      </c>
      <c r="H77" t="s">
        <v>16</v>
      </c>
    </row>
    <row r="78" spans="2:8" x14ac:dyDescent="0.25">
      <c r="B78" t="s">
        <v>54</v>
      </c>
      <c r="C78" t="s">
        <v>8</v>
      </c>
      <c r="D78" t="s">
        <v>9</v>
      </c>
      <c r="E78">
        <v>30</v>
      </c>
      <c r="F78" s="4">
        <v>44850</v>
      </c>
      <c r="G78" s="5">
        <v>114180</v>
      </c>
      <c r="H78" t="s">
        <v>16</v>
      </c>
    </row>
    <row r="79" spans="2:8" x14ac:dyDescent="0.25">
      <c r="B79" t="s">
        <v>86</v>
      </c>
      <c r="C79" t="s">
        <v>8</v>
      </c>
      <c r="D79" t="s">
        <v>12</v>
      </c>
      <c r="E79">
        <v>21</v>
      </c>
      <c r="F79" s="4">
        <v>44678</v>
      </c>
      <c r="G79" s="5">
        <v>33920</v>
      </c>
      <c r="H79" t="s">
        <v>16</v>
      </c>
    </row>
    <row r="80" spans="2:8" x14ac:dyDescent="0.25">
      <c r="B80" t="s">
        <v>69</v>
      </c>
      <c r="C80" t="s">
        <v>15</v>
      </c>
      <c r="D80" t="s">
        <v>9</v>
      </c>
      <c r="E80">
        <v>23</v>
      </c>
      <c r="F80" s="4">
        <v>44440</v>
      </c>
      <c r="G80" s="5">
        <v>106460</v>
      </c>
      <c r="H80" t="s">
        <v>16</v>
      </c>
    </row>
    <row r="81" spans="2:8" x14ac:dyDescent="0.25">
      <c r="B81" t="s">
        <v>57</v>
      </c>
      <c r="C81" t="s">
        <v>15</v>
      </c>
      <c r="D81" t="s">
        <v>9</v>
      </c>
      <c r="E81">
        <v>35</v>
      </c>
      <c r="F81" s="4">
        <v>44727</v>
      </c>
      <c r="G81" s="5">
        <v>40400</v>
      </c>
      <c r="H81" t="s">
        <v>16</v>
      </c>
    </row>
    <row r="82" spans="2:8" x14ac:dyDescent="0.25">
      <c r="B82" t="s">
        <v>68</v>
      </c>
      <c r="C82" t="s">
        <v>15</v>
      </c>
      <c r="D82" t="s">
        <v>21</v>
      </c>
      <c r="E82">
        <v>27</v>
      </c>
      <c r="F82" s="4">
        <v>44236</v>
      </c>
      <c r="G82" s="5">
        <v>91650</v>
      </c>
      <c r="H82" t="s">
        <v>13</v>
      </c>
    </row>
    <row r="83" spans="2:8" x14ac:dyDescent="0.25">
      <c r="B83" t="s">
        <v>99</v>
      </c>
      <c r="C83" t="s">
        <v>15</v>
      </c>
      <c r="D83" t="s">
        <v>19</v>
      </c>
      <c r="E83">
        <v>43</v>
      </c>
      <c r="F83" s="4">
        <v>44620</v>
      </c>
      <c r="G83" s="5">
        <v>36040</v>
      </c>
      <c r="H83" t="s">
        <v>16</v>
      </c>
    </row>
    <row r="84" spans="2:8" x14ac:dyDescent="0.25">
      <c r="B84" t="s">
        <v>101</v>
      </c>
      <c r="C84" t="s">
        <v>8</v>
      </c>
      <c r="D84" t="s">
        <v>12</v>
      </c>
      <c r="E84">
        <v>40</v>
      </c>
      <c r="F84" s="4">
        <v>44381</v>
      </c>
      <c r="G84" s="5">
        <v>104410</v>
      </c>
      <c r="H84" t="s">
        <v>16</v>
      </c>
    </row>
    <row r="85" spans="2:8" x14ac:dyDescent="0.25">
      <c r="B85" t="s">
        <v>85</v>
      </c>
      <c r="C85" t="s">
        <v>15</v>
      </c>
      <c r="D85" t="s">
        <v>21</v>
      </c>
      <c r="E85">
        <v>30</v>
      </c>
      <c r="F85" s="4">
        <v>44606</v>
      </c>
      <c r="G85" s="5">
        <v>96800</v>
      </c>
      <c r="H85" t="s">
        <v>16</v>
      </c>
    </row>
    <row r="86" spans="2:8" x14ac:dyDescent="0.25">
      <c r="B86" t="s">
        <v>28</v>
      </c>
      <c r="C86" t="s">
        <v>8</v>
      </c>
      <c r="D86" t="s">
        <v>21</v>
      </c>
      <c r="E86">
        <v>34</v>
      </c>
      <c r="F86" s="4">
        <v>44459</v>
      </c>
      <c r="G86" s="5">
        <v>85000</v>
      </c>
      <c r="H86" t="s">
        <v>16</v>
      </c>
    </row>
    <row r="87" spans="2:8" x14ac:dyDescent="0.25">
      <c r="B87" t="s">
        <v>80</v>
      </c>
      <c r="C87" t="s">
        <v>15</v>
      </c>
      <c r="D87" t="s">
        <v>19</v>
      </c>
      <c r="E87">
        <v>28</v>
      </c>
      <c r="F87" s="4">
        <v>44820</v>
      </c>
      <c r="G87" s="5">
        <v>43510</v>
      </c>
      <c r="H87" t="s">
        <v>42</v>
      </c>
    </row>
    <row r="88" spans="2:8" x14ac:dyDescent="0.25">
      <c r="B88" t="s">
        <v>79</v>
      </c>
      <c r="C88" t="s">
        <v>15</v>
      </c>
      <c r="D88" t="s">
        <v>21</v>
      </c>
      <c r="E88">
        <v>33</v>
      </c>
      <c r="F88" s="4">
        <v>44243</v>
      </c>
      <c r="G88" s="5">
        <v>59430</v>
      </c>
      <c r="H88" t="s">
        <v>16</v>
      </c>
    </row>
    <row r="89" spans="2:8" x14ac:dyDescent="0.25">
      <c r="B89" t="s">
        <v>93</v>
      </c>
      <c r="C89" t="s">
        <v>8</v>
      </c>
      <c r="D89" t="s">
        <v>21</v>
      </c>
      <c r="E89">
        <v>33</v>
      </c>
      <c r="F89" s="4">
        <v>44067</v>
      </c>
      <c r="G89" s="5">
        <v>65360</v>
      </c>
      <c r="H89" t="s">
        <v>16</v>
      </c>
    </row>
    <row r="90" spans="2:8" x14ac:dyDescent="0.25">
      <c r="B90" t="s">
        <v>66</v>
      </c>
      <c r="C90" t="s">
        <v>8</v>
      </c>
      <c r="D90" t="s">
        <v>9</v>
      </c>
      <c r="E90">
        <v>32</v>
      </c>
      <c r="F90" s="4">
        <v>44611</v>
      </c>
      <c r="G90" s="5">
        <v>41570</v>
      </c>
      <c r="H90" t="s">
        <v>16</v>
      </c>
    </row>
    <row r="91" spans="2:8" x14ac:dyDescent="0.25">
      <c r="B91" t="s">
        <v>95</v>
      </c>
      <c r="C91" t="s">
        <v>8</v>
      </c>
      <c r="D91" t="s">
        <v>12</v>
      </c>
      <c r="E91">
        <v>33</v>
      </c>
      <c r="F91" s="4">
        <v>44312</v>
      </c>
      <c r="G91" s="5">
        <v>75280</v>
      </c>
      <c r="H91" t="s">
        <v>16</v>
      </c>
    </row>
    <row r="92" spans="2:8" x14ac:dyDescent="0.25">
      <c r="B92" t="s">
        <v>18</v>
      </c>
      <c r="C92" t="s">
        <v>15</v>
      </c>
      <c r="D92" t="s">
        <v>19</v>
      </c>
      <c r="E92">
        <v>33</v>
      </c>
      <c r="F92" s="4">
        <v>44385</v>
      </c>
      <c r="G92" s="5">
        <v>74550</v>
      </c>
      <c r="H92" t="s">
        <v>16</v>
      </c>
    </row>
    <row r="93" spans="2:8" x14ac:dyDescent="0.25">
      <c r="B93" t="s">
        <v>45</v>
      </c>
      <c r="C93" t="s">
        <v>15</v>
      </c>
      <c r="D93" t="s">
        <v>9</v>
      </c>
      <c r="E93">
        <v>30</v>
      </c>
      <c r="F93" s="4">
        <v>44701</v>
      </c>
      <c r="G93" s="5">
        <v>67950</v>
      </c>
      <c r="H93" t="s">
        <v>16</v>
      </c>
    </row>
    <row r="94" spans="2:8" x14ac:dyDescent="0.25">
      <c r="B94" t="s">
        <v>90</v>
      </c>
      <c r="C94" t="s">
        <v>15</v>
      </c>
      <c r="D94" t="s">
        <v>21</v>
      </c>
      <c r="E94">
        <v>42</v>
      </c>
      <c r="F94" s="4">
        <v>44731</v>
      </c>
      <c r="G94" s="5">
        <v>70270</v>
      </c>
      <c r="H94" t="s">
        <v>24</v>
      </c>
    </row>
    <row r="95" spans="2:8" x14ac:dyDescent="0.25">
      <c r="B95" t="s">
        <v>46</v>
      </c>
      <c r="C95" t="s">
        <v>15</v>
      </c>
      <c r="D95" t="s">
        <v>9</v>
      </c>
      <c r="E95">
        <v>26</v>
      </c>
      <c r="F95" s="4">
        <v>44411</v>
      </c>
      <c r="G95" s="5">
        <v>53540</v>
      </c>
      <c r="H95" t="s">
        <v>16</v>
      </c>
    </row>
    <row r="96" spans="2:8" x14ac:dyDescent="0.25">
      <c r="B96" t="s">
        <v>58</v>
      </c>
      <c r="C96" t="s">
        <v>15</v>
      </c>
      <c r="D96" t="s">
        <v>19</v>
      </c>
      <c r="E96">
        <v>22</v>
      </c>
      <c r="F96" s="4">
        <v>44446</v>
      </c>
      <c r="G96" s="5">
        <v>112780</v>
      </c>
      <c r="H96" t="s">
        <v>13</v>
      </c>
    </row>
    <row r="97" spans="2:8" x14ac:dyDescent="0.25">
      <c r="B97" t="s">
        <v>70</v>
      </c>
      <c r="C97" t="s">
        <v>15</v>
      </c>
      <c r="D97" t="s">
        <v>9</v>
      </c>
      <c r="E97">
        <v>46</v>
      </c>
      <c r="F97" s="4">
        <v>44758</v>
      </c>
      <c r="G97" s="5">
        <v>70610</v>
      </c>
      <c r="H97" t="s">
        <v>16</v>
      </c>
    </row>
    <row r="98" spans="2:8" x14ac:dyDescent="0.25">
      <c r="B98" t="s">
        <v>75</v>
      </c>
      <c r="C98" t="s">
        <v>8</v>
      </c>
      <c r="D98" t="s">
        <v>19</v>
      </c>
      <c r="E98">
        <v>28</v>
      </c>
      <c r="F98" s="4">
        <v>44357</v>
      </c>
      <c r="G98" s="5">
        <v>53240</v>
      </c>
      <c r="H98" t="s">
        <v>16</v>
      </c>
    </row>
    <row r="99" spans="2:8" x14ac:dyDescent="0.25">
      <c r="B99" t="s">
        <v>49</v>
      </c>
      <c r="D99" t="s">
        <v>21</v>
      </c>
      <c r="E99">
        <v>37</v>
      </c>
      <c r="F99" s="4">
        <v>44146</v>
      </c>
      <c r="G99" s="5">
        <v>115440</v>
      </c>
      <c r="H99" t="s">
        <v>24</v>
      </c>
    </row>
    <row r="100" spans="2:8" x14ac:dyDescent="0.25">
      <c r="B100" t="s">
        <v>65</v>
      </c>
      <c r="C100" t="s">
        <v>15</v>
      </c>
      <c r="D100" t="s">
        <v>19</v>
      </c>
      <c r="E100">
        <v>32</v>
      </c>
      <c r="F100" s="4">
        <v>44465</v>
      </c>
      <c r="G100" s="5">
        <v>53540</v>
      </c>
      <c r="H100" t="s">
        <v>16</v>
      </c>
    </row>
    <row r="101" spans="2:8" x14ac:dyDescent="0.25">
      <c r="B101" t="s">
        <v>81</v>
      </c>
      <c r="C101" t="s">
        <v>8</v>
      </c>
      <c r="D101" t="s">
        <v>9</v>
      </c>
      <c r="E101">
        <v>30</v>
      </c>
      <c r="F101" s="4">
        <v>44861</v>
      </c>
      <c r="G101" s="5">
        <v>112570</v>
      </c>
      <c r="H101" t="s">
        <v>16</v>
      </c>
    </row>
    <row r="102" spans="2:8" x14ac:dyDescent="0.25">
      <c r="B102" t="s">
        <v>51</v>
      </c>
      <c r="C102" t="s">
        <v>15</v>
      </c>
      <c r="D102" t="s">
        <v>9</v>
      </c>
      <c r="E102">
        <v>33</v>
      </c>
      <c r="F102" s="4">
        <v>44701</v>
      </c>
      <c r="G102" s="5">
        <v>48530</v>
      </c>
      <c r="H102" t="s">
        <v>13</v>
      </c>
    </row>
    <row r="103" spans="2:8" x14ac:dyDescent="0.25">
      <c r="B103" t="s">
        <v>61</v>
      </c>
      <c r="C103" t="s">
        <v>8</v>
      </c>
      <c r="D103" t="s">
        <v>12</v>
      </c>
      <c r="E103">
        <v>24</v>
      </c>
      <c r="F103" s="4">
        <v>44148</v>
      </c>
      <c r="G103" s="5">
        <v>62780</v>
      </c>
      <c r="H103"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115"/>
  <sheetViews>
    <sheetView workbookViewId="0">
      <selection activeCell="B1" sqref="B1"/>
    </sheetView>
  </sheetViews>
  <sheetFormatPr defaultRowHeight="15" x14ac:dyDescent="0.25"/>
  <cols>
    <col min="1" max="1" width="2.28515625" customWidth="1"/>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1.85546875" bestFit="1" customWidth="1"/>
  </cols>
  <sheetData>
    <row r="1" spans="1:8" s="2" customFormat="1" ht="52.5" customHeight="1" x14ac:dyDescent="0.25">
      <c r="A1" s="37"/>
      <c r="B1" s="3" t="s">
        <v>253</v>
      </c>
    </row>
    <row r="3" spans="1:8" x14ac:dyDescent="0.25">
      <c r="B3" t="s">
        <v>0</v>
      </c>
      <c r="C3" t="s">
        <v>1</v>
      </c>
      <c r="D3" t="s">
        <v>3</v>
      </c>
      <c r="E3" t="s">
        <v>6</v>
      </c>
      <c r="F3" t="s">
        <v>4</v>
      </c>
      <c r="G3" t="s">
        <v>2</v>
      </c>
      <c r="H3" t="s">
        <v>5</v>
      </c>
    </row>
    <row r="4" spans="1:8" x14ac:dyDescent="0.25">
      <c r="B4" t="s">
        <v>155</v>
      </c>
      <c r="C4" t="s">
        <v>15</v>
      </c>
      <c r="D4">
        <v>20</v>
      </c>
      <c r="E4" t="s">
        <v>16</v>
      </c>
      <c r="F4" s="4">
        <v>44122</v>
      </c>
      <c r="G4" t="s">
        <v>12</v>
      </c>
      <c r="H4" s="5">
        <v>112650</v>
      </c>
    </row>
    <row r="5" spans="1:8" x14ac:dyDescent="0.25">
      <c r="B5" t="s">
        <v>175</v>
      </c>
      <c r="C5" t="s">
        <v>8</v>
      </c>
      <c r="D5">
        <v>32</v>
      </c>
      <c r="E5" t="s">
        <v>13</v>
      </c>
      <c r="F5" s="4">
        <v>44293</v>
      </c>
      <c r="G5" t="s">
        <v>12</v>
      </c>
      <c r="H5" s="5">
        <v>43840</v>
      </c>
    </row>
    <row r="6" spans="1:8" x14ac:dyDescent="0.25">
      <c r="B6" t="s">
        <v>142</v>
      </c>
      <c r="C6" t="s">
        <v>15</v>
      </c>
      <c r="D6">
        <v>31</v>
      </c>
      <c r="E6" t="s">
        <v>16</v>
      </c>
      <c r="F6" s="4">
        <v>44663</v>
      </c>
      <c r="G6" t="s">
        <v>9</v>
      </c>
      <c r="H6" s="5">
        <v>103550</v>
      </c>
    </row>
    <row r="7" spans="1:8" x14ac:dyDescent="0.25">
      <c r="B7" t="s">
        <v>200</v>
      </c>
      <c r="C7" t="s">
        <v>8</v>
      </c>
      <c r="D7">
        <v>32</v>
      </c>
      <c r="E7" t="s">
        <v>16</v>
      </c>
      <c r="F7" s="4">
        <v>44339</v>
      </c>
      <c r="G7" t="s">
        <v>56</v>
      </c>
      <c r="H7" s="5">
        <v>45510</v>
      </c>
    </row>
    <row r="8" spans="1:8" x14ac:dyDescent="0.25">
      <c r="B8" t="s">
        <v>141</v>
      </c>
      <c r="D8">
        <v>37</v>
      </c>
      <c r="E8" t="s">
        <v>24</v>
      </c>
      <c r="F8" s="4">
        <v>44085</v>
      </c>
      <c r="G8" t="s">
        <v>21</v>
      </c>
      <c r="H8" s="5">
        <v>115440</v>
      </c>
    </row>
    <row r="9" spans="1:8" x14ac:dyDescent="0.25">
      <c r="B9" t="s">
        <v>201</v>
      </c>
      <c r="C9" t="s">
        <v>8</v>
      </c>
      <c r="D9">
        <v>38</v>
      </c>
      <c r="E9" t="s">
        <v>13</v>
      </c>
      <c r="F9" s="4">
        <v>44268</v>
      </c>
      <c r="G9" t="s">
        <v>19</v>
      </c>
      <c r="H9" s="5">
        <v>56870</v>
      </c>
    </row>
    <row r="10" spans="1:8" x14ac:dyDescent="0.25">
      <c r="B10" t="s">
        <v>168</v>
      </c>
      <c r="C10" t="s">
        <v>8</v>
      </c>
      <c r="D10">
        <v>25</v>
      </c>
      <c r="E10" t="s">
        <v>16</v>
      </c>
      <c r="F10" s="4">
        <v>44144</v>
      </c>
      <c r="G10" t="s">
        <v>19</v>
      </c>
      <c r="H10" s="5">
        <v>92700</v>
      </c>
    </row>
    <row r="11" spans="1:8" x14ac:dyDescent="0.25">
      <c r="B11" t="s">
        <v>144</v>
      </c>
      <c r="D11">
        <v>32</v>
      </c>
      <c r="E11" t="s">
        <v>16</v>
      </c>
      <c r="F11" s="4">
        <v>44713</v>
      </c>
      <c r="G11" t="s">
        <v>12</v>
      </c>
      <c r="H11" s="5">
        <v>91310</v>
      </c>
    </row>
    <row r="12" spans="1:8" x14ac:dyDescent="0.25">
      <c r="B12" t="s">
        <v>114</v>
      </c>
      <c r="C12" t="s">
        <v>15</v>
      </c>
      <c r="D12">
        <v>33</v>
      </c>
      <c r="E12" t="s">
        <v>16</v>
      </c>
      <c r="F12" s="4">
        <v>44324</v>
      </c>
      <c r="G12" t="s">
        <v>19</v>
      </c>
      <c r="H12" s="5">
        <v>74550</v>
      </c>
    </row>
    <row r="13" spans="1:8" x14ac:dyDescent="0.25">
      <c r="B13" t="s">
        <v>127</v>
      </c>
      <c r="C13" t="s">
        <v>15</v>
      </c>
      <c r="D13">
        <v>25</v>
      </c>
      <c r="E13" t="s">
        <v>13</v>
      </c>
      <c r="F13" s="4">
        <v>44665</v>
      </c>
      <c r="G13" t="s">
        <v>9</v>
      </c>
      <c r="H13" s="5">
        <v>109190</v>
      </c>
    </row>
    <row r="14" spans="1:8" x14ac:dyDescent="0.25">
      <c r="B14" t="s">
        <v>193</v>
      </c>
      <c r="C14" t="s">
        <v>8</v>
      </c>
      <c r="D14">
        <v>40</v>
      </c>
      <c r="E14" t="s">
        <v>16</v>
      </c>
      <c r="F14" s="4">
        <v>44320</v>
      </c>
      <c r="G14" t="s">
        <v>12</v>
      </c>
      <c r="H14" s="5">
        <v>104410</v>
      </c>
    </row>
    <row r="15" spans="1:8" x14ac:dyDescent="0.25">
      <c r="B15" t="s">
        <v>176</v>
      </c>
      <c r="C15" t="s">
        <v>15</v>
      </c>
      <c r="D15">
        <v>30</v>
      </c>
      <c r="E15" t="s">
        <v>16</v>
      </c>
      <c r="F15" s="4">
        <v>44544</v>
      </c>
      <c r="G15" t="s">
        <v>21</v>
      </c>
      <c r="H15" s="5">
        <v>96800</v>
      </c>
    </row>
    <row r="16" spans="1:8" x14ac:dyDescent="0.25">
      <c r="B16" t="s">
        <v>122</v>
      </c>
      <c r="C16" t="s">
        <v>15</v>
      </c>
      <c r="D16">
        <v>28</v>
      </c>
      <c r="E16" t="s">
        <v>13</v>
      </c>
      <c r="F16" s="4">
        <v>43980</v>
      </c>
      <c r="G16" t="s">
        <v>21</v>
      </c>
      <c r="H16" s="5">
        <v>48170</v>
      </c>
    </row>
    <row r="17" spans="2:8" x14ac:dyDescent="0.25">
      <c r="B17" t="s">
        <v>139</v>
      </c>
      <c r="C17" t="s">
        <v>15</v>
      </c>
      <c r="D17">
        <v>21</v>
      </c>
      <c r="E17" t="s">
        <v>16</v>
      </c>
      <c r="F17" s="4">
        <v>44042</v>
      </c>
      <c r="G17" t="s">
        <v>9</v>
      </c>
      <c r="H17" s="5">
        <v>37920</v>
      </c>
    </row>
    <row r="18" spans="2:8" x14ac:dyDescent="0.25">
      <c r="B18" t="s">
        <v>177</v>
      </c>
      <c r="C18" t="s">
        <v>15</v>
      </c>
      <c r="D18">
        <v>34</v>
      </c>
      <c r="E18" t="s">
        <v>16</v>
      </c>
      <c r="F18" s="4">
        <v>44642</v>
      </c>
      <c r="G18" t="s">
        <v>9</v>
      </c>
      <c r="H18" s="5">
        <v>112650</v>
      </c>
    </row>
    <row r="19" spans="2:8" x14ac:dyDescent="0.25">
      <c r="B19" t="s">
        <v>164</v>
      </c>
      <c r="C19" t="s">
        <v>8</v>
      </c>
      <c r="D19">
        <v>34</v>
      </c>
      <c r="E19" t="s">
        <v>24</v>
      </c>
      <c r="F19" s="4">
        <v>44660</v>
      </c>
      <c r="G19" t="s">
        <v>19</v>
      </c>
      <c r="H19" s="5">
        <v>49630</v>
      </c>
    </row>
    <row r="20" spans="2:8" x14ac:dyDescent="0.25">
      <c r="B20" t="s">
        <v>198</v>
      </c>
      <c r="C20" t="s">
        <v>15</v>
      </c>
      <c r="D20">
        <v>36</v>
      </c>
      <c r="E20" t="s">
        <v>16</v>
      </c>
      <c r="F20" s="4">
        <v>43958</v>
      </c>
      <c r="G20" t="s">
        <v>12</v>
      </c>
      <c r="H20" s="5">
        <v>118840</v>
      </c>
    </row>
    <row r="21" spans="2:8" x14ac:dyDescent="0.25">
      <c r="B21" t="s">
        <v>158</v>
      </c>
      <c r="C21" t="s">
        <v>15</v>
      </c>
      <c r="D21">
        <v>30</v>
      </c>
      <c r="E21" t="s">
        <v>16</v>
      </c>
      <c r="F21" s="4">
        <v>44789</v>
      </c>
      <c r="G21" t="s">
        <v>12</v>
      </c>
      <c r="H21" s="5">
        <v>69710</v>
      </c>
    </row>
    <row r="22" spans="2:8" x14ac:dyDescent="0.25">
      <c r="B22" t="s">
        <v>196</v>
      </c>
      <c r="C22" t="s">
        <v>15</v>
      </c>
      <c r="D22">
        <v>20</v>
      </c>
      <c r="E22" t="s">
        <v>16</v>
      </c>
      <c r="F22" s="4">
        <v>44683</v>
      </c>
      <c r="G22" t="s">
        <v>9</v>
      </c>
      <c r="H22" s="5">
        <v>79570</v>
      </c>
    </row>
    <row r="23" spans="2:8" x14ac:dyDescent="0.25">
      <c r="B23" t="s">
        <v>153</v>
      </c>
      <c r="C23" t="s">
        <v>8</v>
      </c>
      <c r="D23">
        <v>22</v>
      </c>
      <c r="E23" t="s">
        <v>13</v>
      </c>
      <c r="F23" s="4">
        <v>44388</v>
      </c>
      <c r="G23" t="s">
        <v>9</v>
      </c>
      <c r="H23" s="5">
        <v>76900</v>
      </c>
    </row>
    <row r="24" spans="2:8" x14ac:dyDescent="0.25">
      <c r="B24" t="s">
        <v>181</v>
      </c>
      <c r="C24" t="s">
        <v>15</v>
      </c>
      <c r="D24">
        <v>27</v>
      </c>
      <c r="E24" t="s">
        <v>16</v>
      </c>
      <c r="F24" s="4">
        <v>44073</v>
      </c>
      <c r="G24" t="s">
        <v>19</v>
      </c>
      <c r="H24" s="5">
        <v>54970</v>
      </c>
    </row>
    <row r="25" spans="2:8" x14ac:dyDescent="0.25">
      <c r="B25" t="s">
        <v>117</v>
      </c>
      <c r="C25" t="s">
        <v>15</v>
      </c>
      <c r="D25">
        <v>37</v>
      </c>
      <c r="E25" t="s">
        <v>24</v>
      </c>
      <c r="F25" s="4">
        <v>44277</v>
      </c>
      <c r="G25" t="s">
        <v>12</v>
      </c>
      <c r="H25" s="5">
        <v>88050</v>
      </c>
    </row>
    <row r="26" spans="2:8" x14ac:dyDescent="0.25">
      <c r="B26" t="s">
        <v>191</v>
      </c>
      <c r="C26" t="s">
        <v>15</v>
      </c>
      <c r="D26">
        <v>43</v>
      </c>
      <c r="E26" t="s">
        <v>16</v>
      </c>
      <c r="F26" s="4">
        <v>44558</v>
      </c>
      <c r="G26" t="s">
        <v>19</v>
      </c>
      <c r="H26" s="5">
        <v>36040</v>
      </c>
    </row>
    <row r="27" spans="2:8" x14ac:dyDescent="0.25">
      <c r="B27" t="s">
        <v>110</v>
      </c>
      <c r="C27" t="s">
        <v>8</v>
      </c>
      <c r="D27">
        <v>42</v>
      </c>
      <c r="E27" t="s">
        <v>10</v>
      </c>
      <c r="F27" s="4">
        <v>44718</v>
      </c>
      <c r="G27" t="s">
        <v>9</v>
      </c>
      <c r="H27" s="5">
        <v>75000</v>
      </c>
    </row>
    <row r="28" spans="2:8" x14ac:dyDescent="0.25">
      <c r="B28" t="s">
        <v>148</v>
      </c>
      <c r="C28" t="s">
        <v>15</v>
      </c>
      <c r="D28">
        <v>35</v>
      </c>
      <c r="E28" t="s">
        <v>16</v>
      </c>
      <c r="F28" s="4">
        <v>44666</v>
      </c>
      <c r="G28" t="s">
        <v>9</v>
      </c>
      <c r="H28" s="5">
        <v>40400</v>
      </c>
    </row>
    <row r="29" spans="2:8" x14ac:dyDescent="0.25">
      <c r="B29" t="s">
        <v>195</v>
      </c>
      <c r="C29" t="s">
        <v>15</v>
      </c>
      <c r="D29">
        <v>24</v>
      </c>
      <c r="E29" t="s">
        <v>16</v>
      </c>
      <c r="F29" s="4">
        <v>44625</v>
      </c>
      <c r="G29" t="s">
        <v>12</v>
      </c>
      <c r="H29" s="5">
        <v>100420</v>
      </c>
    </row>
    <row r="30" spans="2:8" x14ac:dyDescent="0.25">
      <c r="B30" t="s">
        <v>119</v>
      </c>
      <c r="C30" t="s">
        <v>8</v>
      </c>
      <c r="D30">
        <v>31</v>
      </c>
      <c r="E30" t="s">
        <v>16</v>
      </c>
      <c r="F30" s="4">
        <v>44604</v>
      </c>
      <c r="G30" t="s">
        <v>12</v>
      </c>
      <c r="H30" s="5">
        <v>58100</v>
      </c>
    </row>
    <row r="31" spans="2:8" x14ac:dyDescent="0.25">
      <c r="B31" t="s">
        <v>113</v>
      </c>
      <c r="C31" t="s">
        <v>8</v>
      </c>
      <c r="D31">
        <v>44</v>
      </c>
      <c r="E31" t="s">
        <v>16</v>
      </c>
      <c r="F31" s="4">
        <v>44985</v>
      </c>
      <c r="G31" t="s">
        <v>12</v>
      </c>
      <c r="H31" s="5">
        <v>114870</v>
      </c>
    </row>
    <row r="32" spans="2:8" x14ac:dyDescent="0.25">
      <c r="B32" t="s">
        <v>157</v>
      </c>
      <c r="C32" t="s">
        <v>8</v>
      </c>
      <c r="D32">
        <v>32</v>
      </c>
      <c r="E32" t="s">
        <v>16</v>
      </c>
      <c r="F32" s="4">
        <v>44549</v>
      </c>
      <c r="G32" t="s">
        <v>9</v>
      </c>
      <c r="H32" s="5">
        <v>41570</v>
      </c>
    </row>
    <row r="33" spans="2:8" x14ac:dyDescent="0.25">
      <c r="B33" t="s">
        <v>172</v>
      </c>
      <c r="C33" t="s">
        <v>8</v>
      </c>
      <c r="D33">
        <v>30</v>
      </c>
      <c r="E33" t="s">
        <v>16</v>
      </c>
      <c r="F33" s="4">
        <v>44800</v>
      </c>
      <c r="G33" t="s">
        <v>9</v>
      </c>
      <c r="H33" s="5">
        <v>112570</v>
      </c>
    </row>
    <row r="34" spans="2:8" x14ac:dyDescent="0.25">
      <c r="B34" t="s">
        <v>150</v>
      </c>
      <c r="C34" t="s">
        <v>15</v>
      </c>
      <c r="D34">
        <v>26</v>
      </c>
      <c r="E34" t="s">
        <v>16</v>
      </c>
      <c r="F34" s="4">
        <v>44164</v>
      </c>
      <c r="G34" t="s">
        <v>9</v>
      </c>
      <c r="H34" s="5">
        <v>47360</v>
      </c>
    </row>
    <row r="35" spans="2:8" x14ac:dyDescent="0.25">
      <c r="B35" t="s">
        <v>125</v>
      </c>
      <c r="C35" t="s">
        <v>8</v>
      </c>
      <c r="D35">
        <v>21</v>
      </c>
      <c r="E35" t="s">
        <v>16</v>
      </c>
      <c r="F35" s="4">
        <v>44256</v>
      </c>
      <c r="G35" t="s">
        <v>21</v>
      </c>
      <c r="H35" s="5">
        <v>65920</v>
      </c>
    </row>
    <row r="36" spans="2:8" x14ac:dyDescent="0.25">
      <c r="B36" t="s">
        <v>199</v>
      </c>
      <c r="C36" t="s">
        <v>8</v>
      </c>
      <c r="D36">
        <v>28</v>
      </c>
      <c r="E36" t="s">
        <v>16</v>
      </c>
      <c r="F36" s="4">
        <v>44571</v>
      </c>
      <c r="G36" t="s">
        <v>9</v>
      </c>
      <c r="H36" s="5">
        <v>99970</v>
      </c>
    </row>
    <row r="37" spans="2:8" x14ac:dyDescent="0.25">
      <c r="B37" t="s">
        <v>132</v>
      </c>
      <c r="C37" t="s">
        <v>8</v>
      </c>
      <c r="D37">
        <v>25</v>
      </c>
      <c r="E37" t="s">
        <v>13</v>
      </c>
      <c r="F37" s="4">
        <v>44633</v>
      </c>
      <c r="G37" t="s">
        <v>12</v>
      </c>
      <c r="H37" s="5">
        <v>80700</v>
      </c>
    </row>
    <row r="38" spans="2:8" x14ac:dyDescent="0.25">
      <c r="B38" t="s">
        <v>154</v>
      </c>
      <c r="C38" t="s">
        <v>15</v>
      </c>
      <c r="D38">
        <v>24</v>
      </c>
      <c r="E38" t="s">
        <v>24</v>
      </c>
      <c r="F38" s="4">
        <v>44375</v>
      </c>
      <c r="G38" t="s">
        <v>21</v>
      </c>
      <c r="H38" s="5">
        <v>52610</v>
      </c>
    </row>
    <row r="39" spans="2:8" x14ac:dyDescent="0.25">
      <c r="B39" t="s">
        <v>179</v>
      </c>
      <c r="C39" t="s">
        <v>15</v>
      </c>
      <c r="D39">
        <v>29</v>
      </c>
      <c r="E39" t="s">
        <v>24</v>
      </c>
      <c r="F39" s="4">
        <v>44119</v>
      </c>
      <c r="G39" t="s">
        <v>12</v>
      </c>
      <c r="H39" s="5">
        <v>112110</v>
      </c>
    </row>
    <row r="40" spans="2:8" x14ac:dyDescent="0.25">
      <c r="B40" t="s">
        <v>151</v>
      </c>
      <c r="C40" t="s">
        <v>8</v>
      </c>
      <c r="D40">
        <v>27</v>
      </c>
      <c r="E40" t="s">
        <v>16</v>
      </c>
      <c r="F40" s="4">
        <v>44061</v>
      </c>
      <c r="G40" t="s">
        <v>56</v>
      </c>
      <c r="H40" s="5">
        <v>119110</v>
      </c>
    </row>
    <row r="41" spans="2:8" x14ac:dyDescent="0.25">
      <c r="B41" t="s">
        <v>149</v>
      </c>
      <c r="C41" t="s">
        <v>15</v>
      </c>
      <c r="D41">
        <v>22</v>
      </c>
      <c r="E41" t="s">
        <v>13</v>
      </c>
      <c r="F41" s="4">
        <v>44384</v>
      </c>
      <c r="G41" t="s">
        <v>19</v>
      </c>
      <c r="H41" s="5">
        <v>112780</v>
      </c>
    </row>
    <row r="42" spans="2:8" x14ac:dyDescent="0.25">
      <c r="B42" t="s">
        <v>174</v>
      </c>
      <c r="C42" t="s">
        <v>8</v>
      </c>
      <c r="D42">
        <v>36</v>
      </c>
      <c r="E42" t="s">
        <v>16</v>
      </c>
      <c r="F42" s="4">
        <v>44023</v>
      </c>
      <c r="G42" t="s">
        <v>9</v>
      </c>
      <c r="H42" s="5">
        <v>114890</v>
      </c>
    </row>
    <row r="43" spans="2:8" x14ac:dyDescent="0.25">
      <c r="B43" t="s">
        <v>145</v>
      </c>
      <c r="C43" t="s">
        <v>15</v>
      </c>
      <c r="D43">
        <v>27</v>
      </c>
      <c r="E43" t="s">
        <v>16</v>
      </c>
      <c r="F43" s="4">
        <v>44506</v>
      </c>
      <c r="G43" t="s">
        <v>21</v>
      </c>
      <c r="H43" s="5">
        <v>48980</v>
      </c>
    </row>
    <row r="44" spans="2:8" x14ac:dyDescent="0.25">
      <c r="B44" t="s">
        <v>169</v>
      </c>
      <c r="C44" t="s">
        <v>15</v>
      </c>
      <c r="D44">
        <v>21</v>
      </c>
      <c r="E44" t="s">
        <v>16</v>
      </c>
      <c r="F44" s="4">
        <v>44180</v>
      </c>
      <c r="G44" t="s">
        <v>56</v>
      </c>
      <c r="H44" s="5">
        <v>75880</v>
      </c>
    </row>
    <row r="45" spans="2:8" x14ac:dyDescent="0.25">
      <c r="B45" t="s">
        <v>166</v>
      </c>
      <c r="C45" t="s">
        <v>8</v>
      </c>
      <c r="D45">
        <v>28</v>
      </c>
      <c r="E45" t="s">
        <v>16</v>
      </c>
      <c r="F45" s="4">
        <v>44296</v>
      </c>
      <c r="G45" t="s">
        <v>19</v>
      </c>
      <c r="H45" s="5">
        <v>53240</v>
      </c>
    </row>
    <row r="46" spans="2:8" x14ac:dyDescent="0.25">
      <c r="B46" t="s">
        <v>121</v>
      </c>
      <c r="C46" t="s">
        <v>8</v>
      </c>
      <c r="D46">
        <v>34</v>
      </c>
      <c r="E46" t="s">
        <v>16</v>
      </c>
      <c r="F46" s="4">
        <v>44397</v>
      </c>
      <c r="G46" t="s">
        <v>21</v>
      </c>
      <c r="H46" s="5">
        <v>85000</v>
      </c>
    </row>
    <row r="47" spans="2:8" x14ac:dyDescent="0.25">
      <c r="B47" t="s">
        <v>178</v>
      </c>
      <c r="C47" t="s">
        <v>8</v>
      </c>
      <c r="D47">
        <v>21</v>
      </c>
      <c r="E47" t="s">
        <v>16</v>
      </c>
      <c r="F47" s="4">
        <v>44619</v>
      </c>
      <c r="G47" t="s">
        <v>12</v>
      </c>
      <c r="H47" s="5">
        <v>33920</v>
      </c>
    </row>
    <row r="48" spans="2:8" x14ac:dyDescent="0.25">
      <c r="B48" t="s">
        <v>187</v>
      </c>
      <c r="C48" t="s">
        <v>8</v>
      </c>
      <c r="D48">
        <v>33</v>
      </c>
      <c r="E48" t="s">
        <v>16</v>
      </c>
      <c r="F48" s="4">
        <v>44253</v>
      </c>
      <c r="G48" t="s">
        <v>12</v>
      </c>
      <c r="H48" s="5">
        <v>75280</v>
      </c>
    </row>
    <row r="49" spans="2:8" x14ac:dyDescent="0.25">
      <c r="B49" t="s">
        <v>129</v>
      </c>
      <c r="C49" t="s">
        <v>8</v>
      </c>
      <c r="D49">
        <v>34</v>
      </c>
      <c r="E49" t="s">
        <v>16</v>
      </c>
      <c r="F49" s="4">
        <v>44594</v>
      </c>
      <c r="G49" t="s">
        <v>21</v>
      </c>
      <c r="H49" s="5">
        <v>58940</v>
      </c>
    </row>
    <row r="50" spans="2:8" x14ac:dyDescent="0.25">
      <c r="B50" t="s">
        <v>135</v>
      </c>
      <c r="C50" t="s">
        <v>8</v>
      </c>
      <c r="D50">
        <v>28</v>
      </c>
      <c r="E50" t="s">
        <v>16</v>
      </c>
      <c r="F50" s="4">
        <v>44425</v>
      </c>
      <c r="G50" t="s">
        <v>9</v>
      </c>
      <c r="H50" s="5">
        <v>104770</v>
      </c>
    </row>
    <row r="51" spans="2:8" x14ac:dyDescent="0.25">
      <c r="B51" t="s">
        <v>124</v>
      </c>
      <c r="C51" t="s">
        <v>15</v>
      </c>
      <c r="D51">
        <v>21</v>
      </c>
      <c r="E51" t="s">
        <v>16</v>
      </c>
      <c r="F51" s="4">
        <v>44701</v>
      </c>
      <c r="G51" t="s">
        <v>9</v>
      </c>
      <c r="H51" s="5">
        <v>57090</v>
      </c>
    </row>
    <row r="52" spans="2:8" x14ac:dyDescent="0.25">
      <c r="B52" t="s">
        <v>159</v>
      </c>
      <c r="C52" t="s">
        <v>15</v>
      </c>
      <c r="D52">
        <v>27</v>
      </c>
      <c r="E52" t="s">
        <v>13</v>
      </c>
      <c r="F52" s="4">
        <v>44174</v>
      </c>
      <c r="G52" t="s">
        <v>21</v>
      </c>
      <c r="H52" s="5">
        <v>91650</v>
      </c>
    </row>
    <row r="53" spans="2:8" x14ac:dyDescent="0.25">
      <c r="B53" t="s">
        <v>182</v>
      </c>
      <c r="C53" t="s">
        <v>15</v>
      </c>
      <c r="D53">
        <v>42</v>
      </c>
      <c r="E53" t="s">
        <v>24</v>
      </c>
      <c r="F53" s="4">
        <v>44670</v>
      </c>
      <c r="G53" t="s">
        <v>21</v>
      </c>
      <c r="H53" s="5">
        <v>70270</v>
      </c>
    </row>
    <row r="54" spans="2:8" x14ac:dyDescent="0.25">
      <c r="B54" t="s">
        <v>128</v>
      </c>
      <c r="C54" t="s">
        <v>8</v>
      </c>
      <c r="D54">
        <v>28</v>
      </c>
      <c r="E54" t="s">
        <v>16</v>
      </c>
      <c r="F54" s="4">
        <v>44124</v>
      </c>
      <c r="G54" t="s">
        <v>21</v>
      </c>
      <c r="H54" s="5">
        <v>75970</v>
      </c>
    </row>
    <row r="55" spans="2:8" x14ac:dyDescent="0.25">
      <c r="B55" t="s">
        <v>111</v>
      </c>
      <c r="D55">
        <v>27</v>
      </c>
      <c r="E55" t="s">
        <v>13</v>
      </c>
      <c r="F55" s="4">
        <v>44212</v>
      </c>
      <c r="G55" t="s">
        <v>12</v>
      </c>
      <c r="H55" s="5">
        <v>90700</v>
      </c>
    </row>
    <row r="56" spans="2:8" x14ac:dyDescent="0.25">
      <c r="B56" t="s">
        <v>130</v>
      </c>
      <c r="C56" t="s">
        <v>15</v>
      </c>
      <c r="D56">
        <v>30</v>
      </c>
      <c r="E56" t="s">
        <v>16</v>
      </c>
      <c r="F56" s="4">
        <v>44607</v>
      </c>
      <c r="G56" t="s">
        <v>9</v>
      </c>
      <c r="H56" s="5">
        <v>60570</v>
      </c>
    </row>
    <row r="57" spans="2:8" x14ac:dyDescent="0.25">
      <c r="B57" t="s">
        <v>133</v>
      </c>
      <c r="C57" t="s">
        <v>15</v>
      </c>
      <c r="D57">
        <v>33</v>
      </c>
      <c r="E57" t="s">
        <v>16</v>
      </c>
      <c r="F57" s="4">
        <v>44103</v>
      </c>
      <c r="G57" t="s">
        <v>9</v>
      </c>
      <c r="H57" s="5">
        <v>115920</v>
      </c>
    </row>
    <row r="58" spans="2:8" x14ac:dyDescent="0.25">
      <c r="B58" t="s">
        <v>185</v>
      </c>
      <c r="C58" t="s">
        <v>8</v>
      </c>
      <c r="D58">
        <v>33</v>
      </c>
      <c r="E58" t="s">
        <v>16</v>
      </c>
      <c r="F58" s="4">
        <v>44006</v>
      </c>
      <c r="G58" t="s">
        <v>21</v>
      </c>
      <c r="H58" s="5">
        <v>65360</v>
      </c>
    </row>
    <row r="59" spans="2:8" x14ac:dyDescent="0.25">
      <c r="B59" t="s">
        <v>115</v>
      </c>
      <c r="D59">
        <v>30</v>
      </c>
      <c r="E59" t="s">
        <v>16</v>
      </c>
      <c r="F59" s="4">
        <v>44535</v>
      </c>
      <c r="G59" t="s">
        <v>21</v>
      </c>
      <c r="H59" s="5">
        <v>64000</v>
      </c>
    </row>
    <row r="60" spans="2:8" x14ac:dyDescent="0.25">
      <c r="B60" t="s">
        <v>194</v>
      </c>
      <c r="C60" t="s">
        <v>8</v>
      </c>
      <c r="D60">
        <v>34</v>
      </c>
      <c r="E60" t="s">
        <v>16</v>
      </c>
      <c r="F60" s="4">
        <v>44383</v>
      </c>
      <c r="G60" t="s">
        <v>21</v>
      </c>
      <c r="H60" s="5">
        <v>92450</v>
      </c>
    </row>
    <row r="61" spans="2:8" x14ac:dyDescent="0.25">
      <c r="B61" t="s">
        <v>112</v>
      </c>
      <c r="C61" t="s">
        <v>15</v>
      </c>
      <c r="D61">
        <v>31</v>
      </c>
      <c r="E61" t="s">
        <v>16</v>
      </c>
      <c r="F61" s="4">
        <v>44450</v>
      </c>
      <c r="G61" t="s">
        <v>12</v>
      </c>
      <c r="H61" s="5">
        <v>48950</v>
      </c>
    </row>
    <row r="62" spans="2:8" x14ac:dyDescent="0.25">
      <c r="B62" t="s">
        <v>184</v>
      </c>
      <c r="C62" t="s">
        <v>8</v>
      </c>
      <c r="D62">
        <v>27</v>
      </c>
      <c r="E62" t="s">
        <v>16</v>
      </c>
      <c r="F62" s="4">
        <v>44625</v>
      </c>
      <c r="G62" t="s">
        <v>12</v>
      </c>
      <c r="H62" s="5">
        <v>83750</v>
      </c>
    </row>
    <row r="63" spans="2:8" x14ac:dyDescent="0.25">
      <c r="B63" t="s">
        <v>165</v>
      </c>
      <c r="C63" t="s">
        <v>8</v>
      </c>
      <c r="D63">
        <v>40</v>
      </c>
      <c r="E63" t="s">
        <v>16</v>
      </c>
      <c r="F63" s="4">
        <v>44276</v>
      </c>
      <c r="G63" t="s">
        <v>12</v>
      </c>
      <c r="H63" s="5">
        <v>87620</v>
      </c>
    </row>
    <row r="64" spans="2:8" x14ac:dyDescent="0.25">
      <c r="B64" t="s">
        <v>183</v>
      </c>
      <c r="C64" t="s">
        <v>8</v>
      </c>
      <c r="D64">
        <v>20</v>
      </c>
      <c r="E64" t="s">
        <v>24</v>
      </c>
      <c r="F64" s="4">
        <v>44476</v>
      </c>
      <c r="G64" t="s">
        <v>19</v>
      </c>
      <c r="H64" s="5">
        <v>68900</v>
      </c>
    </row>
    <row r="65" spans="2:8" x14ac:dyDescent="0.25">
      <c r="B65" t="s">
        <v>156</v>
      </c>
      <c r="C65" t="s">
        <v>15</v>
      </c>
      <c r="D65">
        <v>32</v>
      </c>
      <c r="E65" t="s">
        <v>16</v>
      </c>
      <c r="F65" s="4">
        <v>44403</v>
      </c>
      <c r="G65" t="s">
        <v>19</v>
      </c>
      <c r="H65" s="5">
        <v>53540</v>
      </c>
    </row>
    <row r="66" spans="2:8" x14ac:dyDescent="0.25">
      <c r="B66" t="s">
        <v>171</v>
      </c>
      <c r="C66" t="s">
        <v>15</v>
      </c>
      <c r="D66">
        <v>28</v>
      </c>
      <c r="E66" t="s">
        <v>42</v>
      </c>
      <c r="F66" s="4">
        <v>44758</v>
      </c>
      <c r="G66" t="s">
        <v>19</v>
      </c>
      <c r="H66" s="5">
        <v>43510</v>
      </c>
    </row>
    <row r="67" spans="2:8" x14ac:dyDescent="0.25">
      <c r="B67" t="s">
        <v>126</v>
      </c>
      <c r="C67" t="s">
        <v>8</v>
      </c>
      <c r="D67">
        <v>38</v>
      </c>
      <c r="E67" t="s">
        <v>10</v>
      </c>
      <c r="F67" s="4">
        <v>44316</v>
      </c>
      <c r="G67" t="s">
        <v>19</v>
      </c>
      <c r="H67" s="5">
        <v>109160</v>
      </c>
    </row>
    <row r="68" spans="2:8" x14ac:dyDescent="0.25">
      <c r="B68" t="s">
        <v>197</v>
      </c>
      <c r="C68" t="s">
        <v>15</v>
      </c>
      <c r="D68">
        <v>40</v>
      </c>
      <c r="E68" t="s">
        <v>16</v>
      </c>
      <c r="F68" s="4">
        <v>44204</v>
      </c>
      <c r="G68" t="s">
        <v>9</v>
      </c>
      <c r="H68" s="5">
        <v>99750</v>
      </c>
    </row>
    <row r="69" spans="2:8" x14ac:dyDescent="0.25">
      <c r="B69" t="s">
        <v>123</v>
      </c>
      <c r="C69" t="s">
        <v>8</v>
      </c>
      <c r="D69">
        <v>31</v>
      </c>
      <c r="E69" t="s">
        <v>16</v>
      </c>
      <c r="F69" s="4">
        <v>44084</v>
      </c>
      <c r="G69" t="s">
        <v>12</v>
      </c>
      <c r="H69" s="5">
        <v>41980</v>
      </c>
    </row>
    <row r="70" spans="2:8" x14ac:dyDescent="0.25">
      <c r="B70" t="s">
        <v>186</v>
      </c>
      <c r="C70" t="s">
        <v>15</v>
      </c>
      <c r="D70">
        <v>36</v>
      </c>
      <c r="E70" t="s">
        <v>16</v>
      </c>
      <c r="F70" s="4">
        <v>44272</v>
      </c>
      <c r="G70" t="s">
        <v>21</v>
      </c>
      <c r="H70" s="5">
        <v>71380</v>
      </c>
    </row>
    <row r="71" spans="2:8" x14ac:dyDescent="0.25">
      <c r="B71" t="s">
        <v>190</v>
      </c>
      <c r="C71" t="s">
        <v>15</v>
      </c>
      <c r="D71">
        <v>27</v>
      </c>
      <c r="E71" t="s">
        <v>42</v>
      </c>
      <c r="F71" s="4">
        <v>44547</v>
      </c>
      <c r="G71" t="s">
        <v>9</v>
      </c>
      <c r="H71" s="5">
        <v>113280</v>
      </c>
    </row>
    <row r="72" spans="2:8" x14ac:dyDescent="0.25">
      <c r="B72" t="s">
        <v>180</v>
      </c>
      <c r="C72" t="s">
        <v>8</v>
      </c>
      <c r="D72">
        <v>33</v>
      </c>
      <c r="E72" t="s">
        <v>16</v>
      </c>
      <c r="F72" s="4">
        <v>44747</v>
      </c>
      <c r="G72" t="s">
        <v>21</v>
      </c>
      <c r="H72" s="5">
        <v>86570</v>
      </c>
    </row>
    <row r="73" spans="2:8" x14ac:dyDescent="0.25">
      <c r="B73" t="s">
        <v>138</v>
      </c>
      <c r="C73" t="s">
        <v>15</v>
      </c>
      <c r="D73">
        <v>26</v>
      </c>
      <c r="E73" t="s">
        <v>16</v>
      </c>
      <c r="F73" s="4">
        <v>44350</v>
      </c>
      <c r="G73" t="s">
        <v>9</v>
      </c>
      <c r="H73" s="5">
        <v>53540</v>
      </c>
    </row>
    <row r="74" spans="2:8" x14ac:dyDescent="0.25">
      <c r="B74" t="s">
        <v>189</v>
      </c>
      <c r="C74" t="s">
        <v>15</v>
      </c>
      <c r="D74">
        <v>37</v>
      </c>
      <c r="E74" t="s">
        <v>16</v>
      </c>
      <c r="F74" s="4">
        <v>44640</v>
      </c>
      <c r="G74" t="s">
        <v>12</v>
      </c>
      <c r="H74" s="5">
        <v>69070</v>
      </c>
    </row>
    <row r="75" spans="2:8" x14ac:dyDescent="0.25">
      <c r="B75" t="s">
        <v>120</v>
      </c>
      <c r="C75" t="s">
        <v>8</v>
      </c>
      <c r="D75">
        <v>30</v>
      </c>
      <c r="E75" t="s">
        <v>24</v>
      </c>
      <c r="F75" s="4">
        <v>44328</v>
      </c>
      <c r="G75" t="s">
        <v>21</v>
      </c>
      <c r="H75" s="5">
        <v>67910</v>
      </c>
    </row>
    <row r="76" spans="2:8" x14ac:dyDescent="0.25">
      <c r="B76" t="s">
        <v>118</v>
      </c>
      <c r="C76" t="s">
        <v>15</v>
      </c>
      <c r="D76">
        <v>30</v>
      </c>
      <c r="E76" t="s">
        <v>16</v>
      </c>
      <c r="F76" s="4">
        <v>44214</v>
      </c>
      <c r="G76" t="s">
        <v>12</v>
      </c>
      <c r="H76" s="5">
        <v>69120</v>
      </c>
    </row>
    <row r="77" spans="2:8" x14ac:dyDescent="0.25">
      <c r="B77" t="s">
        <v>131</v>
      </c>
      <c r="C77" t="s">
        <v>8</v>
      </c>
      <c r="D77">
        <v>34</v>
      </c>
      <c r="E77" t="s">
        <v>16</v>
      </c>
      <c r="F77" s="4">
        <v>44550</v>
      </c>
      <c r="G77" t="s">
        <v>21</v>
      </c>
      <c r="H77" s="5">
        <v>60130</v>
      </c>
    </row>
    <row r="78" spans="2:8" x14ac:dyDescent="0.25">
      <c r="B78" t="s">
        <v>160</v>
      </c>
      <c r="C78" t="s">
        <v>15</v>
      </c>
      <c r="D78">
        <v>23</v>
      </c>
      <c r="E78" t="s">
        <v>16</v>
      </c>
      <c r="F78" s="4">
        <v>44378</v>
      </c>
      <c r="G78" t="s">
        <v>9</v>
      </c>
      <c r="H78" s="5">
        <v>106460</v>
      </c>
    </row>
    <row r="79" spans="2:8" x14ac:dyDescent="0.25">
      <c r="B79" t="s">
        <v>147</v>
      </c>
      <c r="C79" t="s">
        <v>8</v>
      </c>
      <c r="D79">
        <v>37</v>
      </c>
      <c r="E79" t="s">
        <v>16</v>
      </c>
      <c r="F79" s="4">
        <v>44389</v>
      </c>
      <c r="G79" t="s">
        <v>56</v>
      </c>
      <c r="H79" s="5">
        <v>118100</v>
      </c>
    </row>
    <row r="80" spans="2:8" x14ac:dyDescent="0.25">
      <c r="B80" t="s">
        <v>163</v>
      </c>
      <c r="C80" t="s">
        <v>8</v>
      </c>
      <c r="D80">
        <v>36</v>
      </c>
      <c r="E80" t="s">
        <v>16</v>
      </c>
      <c r="F80" s="4">
        <v>44468</v>
      </c>
      <c r="G80" t="s">
        <v>9</v>
      </c>
      <c r="H80" s="5">
        <v>78390</v>
      </c>
    </row>
    <row r="81" spans="2:8" x14ac:dyDescent="0.25">
      <c r="B81" t="s">
        <v>146</v>
      </c>
      <c r="C81" t="s">
        <v>8</v>
      </c>
      <c r="D81">
        <v>30</v>
      </c>
      <c r="E81" t="s">
        <v>16</v>
      </c>
      <c r="F81" s="4">
        <v>44789</v>
      </c>
      <c r="G81" t="s">
        <v>9</v>
      </c>
      <c r="H81" s="5">
        <v>114180</v>
      </c>
    </row>
    <row r="82" spans="2:8" x14ac:dyDescent="0.25">
      <c r="B82" t="s">
        <v>188</v>
      </c>
      <c r="C82" t="s">
        <v>8</v>
      </c>
      <c r="D82">
        <v>28</v>
      </c>
      <c r="E82" t="s">
        <v>16</v>
      </c>
      <c r="F82" s="4">
        <v>44590</v>
      </c>
      <c r="G82" t="s">
        <v>9</v>
      </c>
      <c r="H82" s="5">
        <v>104120</v>
      </c>
    </row>
    <row r="83" spans="2:8" x14ac:dyDescent="0.25">
      <c r="B83" t="s">
        <v>137</v>
      </c>
      <c r="C83" t="s">
        <v>15</v>
      </c>
      <c r="D83">
        <v>30</v>
      </c>
      <c r="E83" t="s">
        <v>16</v>
      </c>
      <c r="F83" s="4">
        <v>44640</v>
      </c>
      <c r="G83" t="s">
        <v>9</v>
      </c>
      <c r="H83" s="5">
        <v>67950</v>
      </c>
    </row>
    <row r="84" spans="2:8" x14ac:dyDescent="0.25">
      <c r="B84" t="s">
        <v>136</v>
      </c>
      <c r="C84" t="s">
        <v>8</v>
      </c>
      <c r="D84">
        <v>29</v>
      </c>
      <c r="E84" t="s">
        <v>16</v>
      </c>
      <c r="F84" s="4">
        <v>43962</v>
      </c>
      <c r="G84" t="s">
        <v>12</v>
      </c>
      <c r="H84" s="5">
        <v>34980</v>
      </c>
    </row>
    <row r="85" spans="2:8" x14ac:dyDescent="0.25">
      <c r="B85" t="s">
        <v>152</v>
      </c>
      <c r="C85" t="s">
        <v>8</v>
      </c>
      <c r="D85">
        <v>24</v>
      </c>
      <c r="E85" t="s">
        <v>16</v>
      </c>
      <c r="F85" s="4">
        <v>44087</v>
      </c>
      <c r="G85" t="s">
        <v>12</v>
      </c>
      <c r="H85" s="5">
        <v>62780</v>
      </c>
    </row>
    <row r="86" spans="2:8" x14ac:dyDescent="0.25">
      <c r="B86" t="s">
        <v>116</v>
      </c>
      <c r="C86" t="s">
        <v>15</v>
      </c>
      <c r="D86">
        <v>20</v>
      </c>
      <c r="E86" t="s">
        <v>16</v>
      </c>
      <c r="F86" s="4">
        <v>44397</v>
      </c>
      <c r="G86" t="s">
        <v>12</v>
      </c>
      <c r="H86" s="5">
        <v>107700</v>
      </c>
    </row>
    <row r="87" spans="2:8" x14ac:dyDescent="0.25">
      <c r="B87" t="s">
        <v>167</v>
      </c>
      <c r="C87" t="s">
        <v>15</v>
      </c>
      <c r="D87">
        <v>25</v>
      </c>
      <c r="E87" t="s">
        <v>16</v>
      </c>
      <c r="F87" s="4">
        <v>44322</v>
      </c>
      <c r="G87" t="s">
        <v>19</v>
      </c>
      <c r="H87" s="5">
        <v>65700</v>
      </c>
    </row>
    <row r="88" spans="2:8" x14ac:dyDescent="0.25">
      <c r="B88" t="s">
        <v>134</v>
      </c>
      <c r="C88" t="s">
        <v>8</v>
      </c>
      <c r="D88">
        <v>33</v>
      </c>
      <c r="E88" t="s">
        <v>42</v>
      </c>
      <c r="F88" s="4">
        <v>44313</v>
      </c>
      <c r="G88" t="s">
        <v>12</v>
      </c>
      <c r="H88" s="5">
        <v>75480</v>
      </c>
    </row>
    <row r="89" spans="2:8" x14ac:dyDescent="0.25">
      <c r="B89" t="s">
        <v>173</v>
      </c>
      <c r="C89" t="s">
        <v>15</v>
      </c>
      <c r="D89">
        <v>33</v>
      </c>
      <c r="E89" t="s">
        <v>16</v>
      </c>
      <c r="F89" s="4">
        <v>44448</v>
      </c>
      <c r="G89" t="s">
        <v>12</v>
      </c>
      <c r="H89" s="5">
        <v>53870</v>
      </c>
    </row>
    <row r="90" spans="2:8" x14ac:dyDescent="0.25">
      <c r="B90" t="s">
        <v>140</v>
      </c>
      <c r="C90" t="s">
        <v>8</v>
      </c>
      <c r="D90">
        <v>36</v>
      </c>
      <c r="E90" t="s">
        <v>16</v>
      </c>
      <c r="F90" s="4">
        <v>44433</v>
      </c>
      <c r="G90" t="s">
        <v>19</v>
      </c>
      <c r="H90" s="5">
        <v>78540</v>
      </c>
    </row>
    <row r="91" spans="2:8" x14ac:dyDescent="0.25">
      <c r="B91" t="s">
        <v>192</v>
      </c>
      <c r="C91" t="s">
        <v>15</v>
      </c>
      <c r="D91">
        <v>19</v>
      </c>
      <c r="E91" t="s">
        <v>16</v>
      </c>
      <c r="F91" s="4">
        <v>44218</v>
      </c>
      <c r="G91" t="s">
        <v>9</v>
      </c>
      <c r="H91" s="5">
        <v>58960</v>
      </c>
    </row>
    <row r="92" spans="2:8" x14ac:dyDescent="0.25">
      <c r="B92" t="s">
        <v>161</v>
      </c>
      <c r="C92" t="s">
        <v>15</v>
      </c>
      <c r="D92">
        <v>46</v>
      </c>
      <c r="E92" t="s">
        <v>16</v>
      </c>
      <c r="F92" s="4">
        <v>44697</v>
      </c>
      <c r="G92" t="s">
        <v>9</v>
      </c>
      <c r="H92" s="5">
        <v>70610</v>
      </c>
    </row>
    <row r="93" spans="2:8" x14ac:dyDescent="0.25">
      <c r="B93" t="s">
        <v>170</v>
      </c>
      <c r="C93" t="s">
        <v>15</v>
      </c>
      <c r="D93">
        <v>33</v>
      </c>
      <c r="E93" t="s">
        <v>16</v>
      </c>
      <c r="F93" s="4">
        <v>44181</v>
      </c>
      <c r="G93" t="s">
        <v>21</v>
      </c>
      <c r="H93" s="5">
        <v>59430</v>
      </c>
    </row>
    <row r="94" spans="2:8" x14ac:dyDescent="0.25">
      <c r="B94" t="s">
        <v>143</v>
      </c>
      <c r="C94" t="s">
        <v>15</v>
      </c>
      <c r="D94">
        <v>33</v>
      </c>
      <c r="E94" t="s">
        <v>13</v>
      </c>
      <c r="F94" s="4">
        <v>44640</v>
      </c>
      <c r="G94" t="s">
        <v>9</v>
      </c>
      <c r="H94" s="5">
        <v>48530</v>
      </c>
    </row>
    <row r="95" spans="2:8" x14ac:dyDescent="0.25">
      <c r="B95" t="s">
        <v>162</v>
      </c>
      <c r="C95" t="s">
        <v>8</v>
      </c>
      <c r="D95">
        <v>33</v>
      </c>
      <c r="E95" t="s">
        <v>16</v>
      </c>
      <c r="F95" s="4">
        <v>44129</v>
      </c>
      <c r="G95" t="s">
        <v>12</v>
      </c>
      <c r="H95" s="5">
        <v>96140</v>
      </c>
    </row>
    <row r="96" spans="2:8" x14ac:dyDescent="0.25">
      <c r="B96" t="s">
        <v>155</v>
      </c>
      <c r="C96" t="s">
        <v>15</v>
      </c>
      <c r="D96">
        <v>20</v>
      </c>
      <c r="E96" t="s">
        <v>16</v>
      </c>
      <c r="F96" s="4">
        <v>44122</v>
      </c>
      <c r="G96" t="s">
        <v>12</v>
      </c>
      <c r="H96" s="5">
        <v>112650</v>
      </c>
    </row>
    <row r="97" spans="2:8" x14ac:dyDescent="0.25">
      <c r="B97" t="s">
        <v>175</v>
      </c>
      <c r="C97" t="s">
        <v>8</v>
      </c>
      <c r="D97">
        <v>32</v>
      </c>
      <c r="E97" t="s">
        <v>13</v>
      </c>
      <c r="F97" s="4">
        <v>44293</v>
      </c>
      <c r="G97" t="s">
        <v>12</v>
      </c>
      <c r="H97" s="5">
        <v>43840</v>
      </c>
    </row>
    <row r="98" spans="2:8" x14ac:dyDescent="0.25">
      <c r="B98" t="s">
        <v>142</v>
      </c>
      <c r="C98" t="s">
        <v>15</v>
      </c>
      <c r="D98">
        <v>31</v>
      </c>
      <c r="E98" t="s">
        <v>16</v>
      </c>
      <c r="F98" s="4">
        <v>44663</v>
      </c>
      <c r="G98" t="s">
        <v>9</v>
      </c>
      <c r="H98" s="5">
        <v>103550</v>
      </c>
    </row>
    <row r="99" spans="2:8" x14ac:dyDescent="0.25">
      <c r="B99" t="s">
        <v>200</v>
      </c>
      <c r="C99" t="s">
        <v>8</v>
      </c>
      <c r="D99">
        <v>32</v>
      </c>
      <c r="E99" t="s">
        <v>16</v>
      </c>
      <c r="F99" s="4">
        <v>44339</v>
      </c>
      <c r="G99" t="s">
        <v>56</v>
      </c>
      <c r="H99" s="5">
        <v>45510</v>
      </c>
    </row>
    <row r="100" spans="2:8" x14ac:dyDescent="0.25">
      <c r="B100" t="s">
        <v>141</v>
      </c>
      <c r="D100">
        <v>37</v>
      </c>
      <c r="E100" t="s">
        <v>24</v>
      </c>
      <c r="F100" s="4">
        <v>44085</v>
      </c>
      <c r="G100" t="s">
        <v>21</v>
      </c>
      <c r="H100" s="5">
        <v>115440</v>
      </c>
    </row>
    <row r="101" spans="2:8" x14ac:dyDescent="0.25">
      <c r="B101" t="s">
        <v>201</v>
      </c>
      <c r="C101" t="s">
        <v>8</v>
      </c>
      <c r="D101">
        <v>38</v>
      </c>
      <c r="E101" t="s">
        <v>13</v>
      </c>
      <c r="F101" s="4">
        <v>44268</v>
      </c>
      <c r="G101" t="s">
        <v>19</v>
      </c>
      <c r="H101" s="5">
        <v>56870</v>
      </c>
    </row>
    <row r="102" spans="2:8" x14ac:dyDescent="0.25">
      <c r="B102" t="s">
        <v>168</v>
      </c>
      <c r="C102" t="s">
        <v>8</v>
      </c>
      <c r="D102">
        <v>25</v>
      </c>
      <c r="E102" t="s">
        <v>16</v>
      </c>
      <c r="F102" s="4">
        <v>44144</v>
      </c>
      <c r="G102" t="s">
        <v>19</v>
      </c>
      <c r="H102" s="5">
        <v>92700</v>
      </c>
    </row>
    <row r="103" spans="2:8" x14ac:dyDescent="0.25">
      <c r="B103" t="s">
        <v>144</v>
      </c>
      <c r="D103">
        <v>32</v>
      </c>
      <c r="E103" t="s">
        <v>16</v>
      </c>
      <c r="F103" s="4">
        <v>44713</v>
      </c>
      <c r="G103" t="s">
        <v>12</v>
      </c>
      <c r="H103" s="5">
        <v>91310</v>
      </c>
    </row>
    <row r="104" spans="2:8" x14ac:dyDescent="0.25">
      <c r="B104" t="s">
        <v>114</v>
      </c>
      <c r="C104" t="s">
        <v>15</v>
      </c>
      <c r="D104">
        <v>33</v>
      </c>
      <c r="E104" t="s">
        <v>16</v>
      </c>
      <c r="F104" s="4">
        <v>44324</v>
      </c>
      <c r="G104" t="s">
        <v>19</v>
      </c>
      <c r="H104" s="5">
        <v>74550</v>
      </c>
    </row>
    <row r="105" spans="2:8" x14ac:dyDescent="0.25">
      <c r="B105" t="s">
        <v>127</v>
      </c>
      <c r="C105" t="s">
        <v>15</v>
      </c>
      <c r="D105">
        <v>25</v>
      </c>
      <c r="E105" t="s">
        <v>13</v>
      </c>
      <c r="F105" s="4">
        <v>44665</v>
      </c>
      <c r="G105" t="s">
        <v>9</v>
      </c>
      <c r="H105" s="5">
        <v>109190</v>
      </c>
    </row>
    <row r="106" spans="2:8" x14ac:dyDescent="0.25">
      <c r="B106" t="s">
        <v>193</v>
      </c>
      <c r="C106" t="s">
        <v>8</v>
      </c>
      <c r="D106">
        <v>40</v>
      </c>
      <c r="E106" t="s">
        <v>16</v>
      </c>
      <c r="F106" s="4">
        <v>44320</v>
      </c>
      <c r="G106" t="s">
        <v>12</v>
      </c>
      <c r="H106" s="5">
        <v>104410</v>
      </c>
    </row>
    <row r="107" spans="2:8" x14ac:dyDescent="0.25">
      <c r="B107" t="s">
        <v>176</v>
      </c>
      <c r="C107" t="s">
        <v>15</v>
      </c>
      <c r="D107">
        <v>30</v>
      </c>
      <c r="E107" t="s">
        <v>16</v>
      </c>
      <c r="F107" s="4">
        <v>44544</v>
      </c>
      <c r="G107" t="s">
        <v>21</v>
      </c>
      <c r="H107" s="5">
        <v>96800</v>
      </c>
    </row>
    <row r="108" spans="2:8" x14ac:dyDescent="0.25">
      <c r="B108" t="s">
        <v>122</v>
      </c>
      <c r="C108" t="s">
        <v>15</v>
      </c>
      <c r="D108">
        <v>28</v>
      </c>
      <c r="E108" t="s">
        <v>13</v>
      </c>
      <c r="F108" s="4">
        <v>43980</v>
      </c>
      <c r="G108" t="s">
        <v>21</v>
      </c>
      <c r="H108" s="5">
        <v>48170</v>
      </c>
    </row>
    <row r="109" spans="2:8" x14ac:dyDescent="0.25">
      <c r="B109" t="s">
        <v>139</v>
      </c>
      <c r="C109" t="s">
        <v>15</v>
      </c>
      <c r="D109">
        <v>21</v>
      </c>
      <c r="E109" t="s">
        <v>16</v>
      </c>
      <c r="F109" s="4">
        <v>44042</v>
      </c>
      <c r="G109" t="s">
        <v>9</v>
      </c>
      <c r="H109" s="5">
        <v>37920</v>
      </c>
    </row>
    <row r="110" spans="2:8" x14ac:dyDescent="0.25">
      <c r="B110" t="s">
        <v>177</v>
      </c>
      <c r="C110" t="s">
        <v>15</v>
      </c>
      <c r="D110">
        <v>34</v>
      </c>
      <c r="E110" t="s">
        <v>16</v>
      </c>
      <c r="F110" s="4">
        <v>44642</v>
      </c>
      <c r="G110" t="s">
        <v>9</v>
      </c>
      <c r="H110" s="5">
        <v>112650</v>
      </c>
    </row>
    <row r="111" spans="2:8" x14ac:dyDescent="0.25">
      <c r="B111" t="s">
        <v>164</v>
      </c>
      <c r="C111" t="s">
        <v>8</v>
      </c>
      <c r="D111">
        <v>34</v>
      </c>
      <c r="E111" t="s">
        <v>24</v>
      </c>
      <c r="F111" s="4">
        <v>44660</v>
      </c>
      <c r="G111" t="s">
        <v>19</v>
      </c>
      <c r="H111" s="5">
        <v>49630</v>
      </c>
    </row>
    <row r="112" spans="2:8" x14ac:dyDescent="0.25">
      <c r="B112" t="s">
        <v>198</v>
      </c>
      <c r="C112" t="s">
        <v>15</v>
      </c>
      <c r="D112">
        <v>36</v>
      </c>
      <c r="E112" t="s">
        <v>16</v>
      </c>
      <c r="F112" s="4">
        <v>43958</v>
      </c>
      <c r="G112" t="s">
        <v>12</v>
      </c>
      <c r="H112" s="5">
        <v>118840</v>
      </c>
    </row>
    <row r="113" spans="2:8" x14ac:dyDescent="0.25">
      <c r="B113" t="s">
        <v>158</v>
      </c>
      <c r="C113" t="s">
        <v>15</v>
      </c>
      <c r="D113">
        <v>30</v>
      </c>
      <c r="E113" t="s">
        <v>16</v>
      </c>
      <c r="F113" s="4">
        <v>44789</v>
      </c>
      <c r="G113" t="s">
        <v>12</v>
      </c>
      <c r="H113" s="5">
        <v>69710</v>
      </c>
    </row>
    <row r="114" spans="2:8" x14ac:dyDescent="0.25">
      <c r="B114" t="s">
        <v>196</v>
      </c>
      <c r="C114" t="s">
        <v>15</v>
      </c>
      <c r="D114">
        <v>20</v>
      </c>
      <c r="E114" t="s">
        <v>16</v>
      </c>
      <c r="F114" s="4">
        <v>44683</v>
      </c>
      <c r="G114" t="s">
        <v>9</v>
      </c>
      <c r="H114" s="5">
        <v>79570</v>
      </c>
    </row>
    <row r="115" spans="2:8" x14ac:dyDescent="0.25">
      <c r="B115" t="s">
        <v>153</v>
      </c>
      <c r="C115" t="s">
        <v>8</v>
      </c>
      <c r="D115">
        <v>22</v>
      </c>
      <c r="E115" t="s">
        <v>13</v>
      </c>
      <c r="F115" s="4">
        <v>44388</v>
      </c>
      <c r="G115" t="s">
        <v>9</v>
      </c>
      <c r="H115" s="5">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160E-26AC-4F2E-A681-948BA5DD94C7}">
  <sheetPr>
    <tabColor theme="9" tint="-0.249977111117893"/>
  </sheetPr>
  <dimension ref="A1:O184"/>
  <sheetViews>
    <sheetView topLeftCell="B1" workbookViewId="0">
      <selection activeCell="K4" sqref="K4"/>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1.85546875" style="5" bestFit="1" customWidth="1"/>
    <col min="8" max="8" width="10.28515625" bestFit="1" customWidth="1"/>
    <col min="9" max="9" width="14.28515625" style="7" bestFit="1" customWidth="1"/>
    <col min="10" max="10" width="14.28515625" style="5" customWidth="1"/>
    <col min="11" max="11" width="19.7109375" bestFit="1" customWidth="1"/>
    <col min="12" max="13" width="19.5703125" bestFit="1" customWidth="1"/>
    <col min="14" max="14" width="10.28515625" bestFit="1" customWidth="1"/>
  </cols>
  <sheetData>
    <row r="1" spans="1:15" x14ac:dyDescent="0.25">
      <c r="A1" t="s">
        <v>0</v>
      </c>
      <c r="B1" t="s">
        <v>1</v>
      </c>
      <c r="C1" t="s">
        <v>3</v>
      </c>
      <c r="D1" t="s">
        <v>6</v>
      </c>
      <c r="E1" t="s">
        <v>4</v>
      </c>
      <c r="F1" t="s">
        <v>2</v>
      </c>
      <c r="G1" s="5" t="s">
        <v>5</v>
      </c>
      <c r="H1" t="s">
        <v>202</v>
      </c>
      <c r="I1" s="7" t="s">
        <v>210</v>
      </c>
      <c r="J1" s="5" t="s">
        <v>226</v>
      </c>
      <c r="K1" t="s">
        <v>229</v>
      </c>
    </row>
    <row r="2" spans="1:15" x14ac:dyDescent="0.25">
      <c r="A2" t="s">
        <v>86</v>
      </c>
      <c r="B2" t="s">
        <v>8</v>
      </c>
      <c r="C2">
        <v>21</v>
      </c>
      <c r="D2" t="s">
        <v>16</v>
      </c>
      <c r="E2" s="6">
        <v>44678</v>
      </c>
      <c r="F2" t="s">
        <v>12</v>
      </c>
      <c r="G2" s="5">
        <v>33920</v>
      </c>
      <c r="H2" t="s">
        <v>203</v>
      </c>
      <c r="I2" s="7">
        <f ca="1">(TODAY() -staff[[#This Row],[Date Joined]])/365</f>
        <v>1.1452054794520548</v>
      </c>
      <c r="J2" s="5">
        <f ca="1">ROUNDUP(IF(staff[[#This Row],[Tenure]]&gt;2,3%,2%)*staff[[#This Row],[Salary]],0)</f>
        <v>679</v>
      </c>
      <c r="K2">
        <f>_xlfn.XLOOKUP(staff[[#This Row],[Rating]],'Salary vs. Rating'!$B$12:$B$16,'Salary vs. Rating'!$C$12:$C$16)</f>
        <v>3</v>
      </c>
      <c r="L2" s="10" t="s">
        <v>215</v>
      </c>
      <c r="M2" s="11" t="s">
        <v>206</v>
      </c>
      <c r="N2">
        <f>COUNTA(staff[Name])</f>
        <v>183</v>
      </c>
    </row>
    <row r="3" spans="1:15" x14ac:dyDescent="0.25">
      <c r="A3" t="s">
        <v>178</v>
      </c>
      <c r="B3" t="s">
        <v>8</v>
      </c>
      <c r="C3">
        <v>21</v>
      </c>
      <c r="D3" t="s">
        <v>16</v>
      </c>
      <c r="E3" s="6">
        <v>44619</v>
      </c>
      <c r="F3" t="s">
        <v>12</v>
      </c>
      <c r="G3" s="5">
        <v>33920</v>
      </c>
      <c r="H3" t="s">
        <v>205</v>
      </c>
      <c r="I3" s="7">
        <f ca="1">(TODAY() -staff[[#This Row],[Date Joined]])/365</f>
        <v>1.3068493150684932</v>
      </c>
      <c r="J3" s="5">
        <f ca="1">ROUNDUP(IF(staff[[#This Row],[Tenure]]&gt;2,3%,2%)*staff[[#This Row],[Salary]],0)</f>
        <v>679</v>
      </c>
      <c r="K3">
        <f>_xlfn.XLOOKUP(staff[[#This Row],[Rating]],'Salary vs. Rating'!$B$12:$B$16,'Salary vs. Rating'!$C$12:$C$16)</f>
        <v>3</v>
      </c>
      <c r="M3" s="11" t="s">
        <v>207</v>
      </c>
      <c r="N3">
        <f>AVERAGE(staff[Salary])</f>
        <v>77173.715846994543</v>
      </c>
      <c r="O3">
        <f>MEDIAN(G:G)</f>
        <v>75000</v>
      </c>
    </row>
    <row r="4" spans="1:15" x14ac:dyDescent="0.25">
      <c r="A4" t="s">
        <v>44</v>
      </c>
      <c r="B4" t="s">
        <v>8</v>
      </c>
      <c r="C4">
        <v>29</v>
      </c>
      <c r="D4" t="s">
        <v>16</v>
      </c>
      <c r="E4" s="6">
        <v>44023</v>
      </c>
      <c r="F4" t="s">
        <v>12</v>
      </c>
      <c r="G4" s="5">
        <v>34980</v>
      </c>
      <c r="H4" t="s">
        <v>203</v>
      </c>
      <c r="I4" s="7">
        <f ca="1">(TODAY() -staff[[#This Row],[Date Joined]])/365</f>
        <v>2.9397260273972603</v>
      </c>
      <c r="J4" s="5">
        <f ca="1">ROUNDUP(IF(staff[[#This Row],[Tenure]]&gt;2,3%,2%)*staff[[#This Row],[Salary]],0)</f>
        <v>1050</v>
      </c>
      <c r="K4">
        <f>_xlfn.XLOOKUP(staff[[#This Row],[Rating]],'Salary vs. Rating'!$B$12:$B$16,'Salary vs. Rating'!$C$12:$C$16)</f>
        <v>3</v>
      </c>
      <c r="M4" s="11" t="s">
        <v>208</v>
      </c>
      <c r="N4">
        <f>AVERAGE(C:C)</f>
        <v>30.42622950819672</v>
      </c>
      <c r="O4">
        <f>MEDIAN(C:C)</f>
        <v>30</v>
      </c>
    </row>
    <row r="5" spans="1:15" x14ac:dyDescent="0.25">
      <c r="A5" t="s">
        <v>136</v>
      </c>
      <c r="B5" t="s">
        <v>8</v>
      </c>
      <c r="C5">
        <v>29</v>
      </c>
      <c r="D5" t="s">
        <v>16</v>
      </c>
      <c r="E5" s="6">
        <v>43962</v>
      </c>
      <c r="F5" t="s">
        <v>12</v>
      </c>
      <c r="G5" s="5">
        <v>34980</v>
      </c>
      <c r="H5" t="s">
        <v>205</v>
      </c>
      <c r="I5" s="7">
        <f ca="1">(TODAY() -staff[[#This Row],[Date Joined]])/365</f>
        <v>3.106849315068493</v>
      </c>
      <c r="J5" s="5">
        <f ca="1">ROUNDUP(IF(staff[[#This Row],[Tenure]]&gt;2,3%,2%)*staff[[#This Row],[Salary]],0)</f>
        <v>1050</v>
      </c>
      <c r="K5">
        <f>_xlfn.XLOOKUP(staff[[#This Row],[Rating]],'Salary vs. Rating'!$B$12:$B$16,'Salary vs. Rating'!$C$12:$C$16)</f>
        <v>3</v>
      </c>
      <c r="M5" s="11" t="s">
        <v>209</v>
      </c>
      <c r="N5" s="7">
        <f ca="1">AVERAGE(staff[Tenure])</f>
        <v>1.8163485290815173</v>
      </c>
    </row>
    <row r="6" spans="1:15" x14ac:dyDescent="0.25">
      <c r="A6" t="s">
        <v>99</v>
      </c>
      <c r="B6" t="s">
        <v>15</v>
      </c>
      <c r="C6">
        <v>43</v>
      </c>
      <c r="D6" t="s">
        <v>16</v>
      </c>
      <c r="E6" s="6">
        <v>44620</v>
      </c>
      <c r="F6" t="s">
        <v>19</v>
      </c>
      <c r="G6" s="5">
        <v>36040</v>
      </c>
      <c r="H6" t="s">
        <v>203</v>
      </c>
      <c r="I6" s="7">
        <f ca="1">(TODAY() -staff[[#This Row],[Date Joined]])/365</f>
        <v>1.3041095890410959</v>
      </c>
      <c r="J6" s="5">
        <f ca="1">ROUNDUP(IF(staff[[#This Row],[Tenure]]&gt;2,3%,2%)*staff[[#This Row],[Salary]],0)</f>
        <v>721</v>
      </c>
      <c r="K6">
        <f>_xlfn.XLOOKUP(staff[[#This Row],[Rating]],'Salary vs. Rating'!$B$12:$B$16,'Salary vs. Rating'!$C$12:$C$16)</f>
        <v>3</v>
      </c>
      <c r="M6" s="11" t="s">
        <v>212</v>
      </c>
      <c r="N6">
        <f>COUNTIFS(staff[Gender],"Female")</f>
        <v>86</v>
      </c>
    </row>
    <row r="7" spans="1:15" x14ac:dyDescent="0.25">
      <c r="A7" t="s">
        <v>191</v>
      </c>
      <c r="B7" t="s">
        <v>15</v>
      </c>
      <c r="C7">
        <v>43</v>
      </c>
      <c r="D7" t="s">
        <v>16</v>
      </c>
      <c r="E7" s="6">
        <v>44558</v>
      </c>
      <c r="F7" t="s">
        <v>19</v>
      </c>
      <c r="G7" s="5">
        <v>36040</v>
      </c>
      <c r="H7" t="s">
        <v>205</v>
      </c>
      <c r="I7" s="7">
        <f ca="1">(TODAY() -staff[[#This Row],[Date Joined]])/365</f>
        <v>1.473972602739726</v>
      </c>
      <c r="J7" s="5">
        <f ca="1">ROUNDUP(IF(staff[[#This Row],[Tenure]]&gt;2,3%,2%)*staff[[#This Row],[Salary]],0)</f>
        <v>721</v>
      </c>
      <c r="K7">
        <f>_xlfn.XLOOKUP(staff[[#This Row],[Rating]],'Salary vs. Rating'!$B$12:$B$16,'Salary vs. Rating'!$C$12:$C$16)</f>
        <v>3</v>
      </c>
      <c r="M7" s="11" t="s">
        <v>211</v>
      </c>
      <c r="N7" s="8">
        <f>N6/N2</f>
        <v>0.46994535519125685</v>
      </c>
    </row>
    <row r="8" spans="1:15" x14ac:dyDescent="0.25">
      <c r="A8" t="s">
        <v>47</v>
      </c>
      <c r="B8" t="s">
        <v>15</v>
      </c>
      <c r="C8">
        <v>21</v>
      </c>
      <c r="D8" t="s">
        <v>16</v>
      </c>
      <c r="E8" s="6">
        <v>44104</v>
      </c>
      <c r="F8" t="s">
        <v>9</v>
      </c>
      <c r="G8" s="5">
        <v>37920</v>
      </c>
      <c r="H8" t="s">
        <v>203</v>
      </c>
      <c r="I8" s="7">
        <f ca="1">(TODAY() -staff[[#This Row],[Date Joined]])/365</f>
        <v>2.7178082191780821</v>
      </c>
      <c r="J8" s="5">
        <f ca="1">ROUNDUP(IF(staff[[#This Row],[Tenure]]&gt;2,3%,2%)*staff[[#This Row],[Salary]],0)</f>
        <v>1138</v>
      </c>
      <c r="K8">
        <f>_xlfn.XLOOKUP(staff[[#This Row],[Rating]],'Salary vs. Rating'!$B$12:$B$16,'Salary vs. Rating'!$C$12:$C$16)</f>
        <v>3</v>
      </c>
      <c r="M8" s="11" t="s">
        <v>214</v>
      </c>
      <c r="N8">
        <f>COUNTIFS(staff[Salary],"&gt;90000")</f>
        <v>63</v>
      </c>
    </row>
    <row r="9" spans="1:15" x14ac:dyDescent="0.25">
      <c r="A9" t="s">
        <v>139</v>
      </c>
      <c r="B9" t="s">
        <v>15</v>
      </c>
      <c r="C9">
        <v>21</v>
      </c>
      <c r="D9" t="s">
        <v>16</v>
      </c>
      <c r="E9" s="6">
        <v>44042</v>
      </c>
      <c r="F9" t="s">
        <v>9</v>
      </c>
      <c r="G9" s="5">
        <v>37920</v>
      </c>
      <c r="H9" t="s">
        <v>205</v>
      </c>
      <c r="I9" s="7">
        <f ca="1">(TODAY() -staff[[#This Row],[Date Joined]])/365</f>
        <v>2.8876712328767122</v>
      </c>
      <c r="J9" s="5">
        <f ca="1">ROUNDUP(IF(staff[[#This Row],[Tenure]]&gt;2,3%,2%)*staff[[#This Row],[Salary]],0)</f>
        <v>1138</v>
      </c>
      <c r="K9">
        <f>_xlfn.XLOOKUP(staff[[#This Row],[Rating]],'Salary vs. Rating'!$B$12:$B$16,'Salary vs. Rating'!$C$12:$C$16)</f>
        <v>3</v>
      </c>
      <c r="M9" s="11" t="s">
        <v>213</v>
      </c>
      <c r="N9" s="9">
        <f>N8/N2</f>
        <v>0.34426229508196721</v>
      </c>
    </row>
    <row r="10" spans="1:15" x14ac:dyDescent="0.25">
      <c r="A10" t="s">
        <v>57</v>
      </c>
      <c r="B10" t="s">
        <v>15</v>
      </c>
      <c r="C10">
        <v>35</v>
      </c>
      <c r="D10" t="s">
        <v>16</v>
      </c>
      <c r="E10" s="6">
        <v>44727</v>
      </c>
      <c r="F10" t="s">
        <v>9</v>
      </c>
      <c r="G10" s="5">
        <v>40400</v>
      </c>
      <c r="H10" t="s">
        <v>203</v>
      </c>
      <c r="I10" s="7">
        <f ca="1">(TODAY() -staff[[#This Row],[Date Joined]])/365</f>
        <v>1.010958904109589</v>
      </c>
      <c r="J10" s="5">
        <f ca="1">ROUNDUP(IF(staff[[#This Row],[Tenure]]&gt;2,3%,2%)*staff[[#This Row],[Salary]],0)</f>
        <v>808</v>
      </c>
      <c r="K10">
        <f>_xlfn.XLOOKUP(staff[[#This Row],[Rating]],'Salary vs. Rating'!$B$12:$B$16,'Salary vs. Rating'!$C$12:$C$16)</f>
        <v>3</v>
      </c>
    </row>
    <row r="11" spans="1:15" x14ac:dyDescent="0.25">
      <c r="A11" t="s">
        <v>148</v>
      </c>
      <c r="B11" t="s">
        <v>15</v>
      </c>
      <c r="C11">
        <v>35</v>
      </c>
      <c r="D11" t="s">
        <v>16</v>
      </c>
      <c r="E11" s="6">
        <v>44666</v>
      </c>
      <c r="F11" t="s">
        <v>9</v>
      </c>
      <c r="G11" s="5">
        <v>40400</v>
      </c>
      <c r="H11" t="s">
        <v>205</v>
      </c>
      <c r="I11" s="7">
        <f ca="1">(TODAY() -staff[[#This Row],[Date Joined]])/365</f>
        <v>1.178082191780822</v>
      </c>
      <c r="J11" s="5">
        <f ca="1">ROUNDUP(IF(staff[[#This Row],[Tenure]]&gt;2,3%,2%)*staff[[#This Row],[Salary]],0)</f>
        <v>808</v>
      </c>
      <c r="K11">
        <f>_xlfn.XLOOKUP(staff[[#This Row],[Rating]],'Salary vs. Rating'!$B$12:$B$16,'Salary vs. Rating'!$C$12:$C$16)</f>
        <v>3</v>
      </c>
    </row>
    <row r="12" spans="1:15" x14ac:dyDescent="0.25">
      <c r="A12" t="s">
        <v>66</v>
      </c>
      <c r="B12" t="s">
        <v>8</v>
      </c>
      <c r="C12">
        <v>32</v>
      </c>
      <c r="D12" t="s">
        <v>16</v>
      </c>
      <c r="E12" s="6">
        <v>44611</v>
      </c>
      <c r="F12" t="s">
        <v>9</v>
      </c>
      <c r="G12" s="5">
        <v>41570</v>
      </c>
      <c r="H12" t="s">
        <v>203</v>
      </c>
      <c r="I12" s="7">
        <f ca="1">(TODAY() -staff[[#This Row],[Date Joined]])/365</f>
        <v>1.3287671232876712</v>
      </c>
      <c r="J12" s="5">
        <f ca="1">ROUNDUP(IF(staff[[#This Row],[Tenure]]&gt;2,3%,2%)*staff[[#This Row],[Salary]],0)</f>
        <v>832</v>
      </c>
      <c r="K12">
        <f>_xlfn.XLOOKUP(staff[[#This Row],[Rating]],'Salary vs. Rating'!$B$12:$B$16,'Salary vs. Rating'!$C$12:$C$16)</f>
        <v>3</v>
      </c>
      <c r="L12" s="10" t="s">
        <v>216</v>
      </c>
      <c r="M12" s="11" t="s">
        <v>61</v>
      </c>
    </row>
    <row r="13" spans="1:15" x14ac:dyDescent="0.25">
      <c r="A13" t="s">
        <v>157</v>
      </c>
      <c r="B13" t="s">
        <v>8</v>
      </c>
      <c r="C13">
        <v>32</v>
      </c>
      <c r="D13" t="s">
        <v>16</v>
      </c>
      <c r="E13" s="6">
        <v>44549</v>
      </c>
      <c r="F13" t="s">
        <v>9</v>
      </c>
      <c r="G13" s="5">
        <v>41570</v>
      </c>
      <c r="H13" t="s">
        <v>205</v>
      </c>
      <c r="I13" s="7">
        <f ca="1">(TODAY() -staff[[#This Row],[Date Joined]])/365</f>
        <v>1.4986301369863013</v>
      </c>
      <c r="J13" s="5">
        <f ca="1">ROUNDUP(IF(staff[[#This Row],[Tenure]]&gt;2,3%,2%)*staff[[#This Row],[Salary]],0)</f>
        <v>832</v>
      </c>
      <c r="K13">
        <f>_xlfn.XLOOKUP(staff[[#This Row],[Rating]],'Salary vs. Rating'!$B$12:$B$16,'Salary vs. Rating'!$C$12:$C$16)</f>
        <v>3</v>
      </c>
      <c r="L13" s="17" t="s">
        <v>1</v>
      </c>
      <c r="M13" s="13" t="str" cm="1">
        <f t="array" aca="1" ref="M13:M20" ca="1">TRANSPOSE(_xlfn.XLOOKUP(M12,A:A,B:I))</f>
        <v>Female</v>
      </c>
    </row>
    <row r="14" spans="1:15" x14ac:dyDescent="0.25">
      <c r="A14" t="s">
        <v>30</v>
      </c>
      <c r="B14" t="s">
        <v>8</v>
      </c>
      <c r="C14">
        <v>31</v>
      </c>
      <c r="D14" t="s">
        <v>16</v>
      </c>
      <c r="E14" s="6">
        <v>44145</v>
      </c>
      <c r="F14" t="s">
        <v>12</v>
      </c>
      <c r="G14" s="5">
        <v>41980</v>
      </c>
      <c r="H14" t="s">
        <v>203</v>
      </c>
      <c r="I14" s="7">
        <f ca="1">(TODAY() -staff[[#This Row],[Date Joined]])/365</f>
        <v>2.6054794520547944</v>
      </c>
      <c r="J14" s="5">
        <f ca="1">ROUNDUP(IF(staff[[#This Row],[Tenure]]&gt;2,3%,2%)*staff[[#This Row],[Salary]],0)</f>
        <v>1260</v>
      </c>
      <c r="K14">
        <f>_xlfn.XLOOKUP(staff[[#This Row],[Rating]],'Salary vs. Rating'!$B$12:$B$16,'Salary vs. Rating'!$C$12:$C$16)</f>
        <v>3</v>
      </c>
      <c r="L14" s="17" t="s">
        <v>3</v>
      </c>
      <c r="M14" s="13">
        <f ca="1"/>
        <v>24</v>
      </c>
    </row>
    <row r="15" spans="1:15" x14ac:dyDescent="0.25">
      <c r="A15" t="s">
        <v>123</v>
      </c>
      <c r="B15" t="s">
        <v>8</v>
      </c>
      <c r="C15">
        <v>31</v>
      </c>
      <c r="D15" t="s">
        <v>16</v>
      </c>
      <c r="E15" s="6">
        <v>44084</v>
      </c>
      <c r="F15" t="s">
        <v>12</v>
      </c>
      <c r="G15" s="5">
        <v>41980</v>
      </c>
      <c r="H15" t="s">
        <v>205</v>
      </c>
      <c r="I15" s="7">
        <f ca="1">(TODAY() -staff[[#This Row],[Date Joined]])/365</f>
        <v>2.7726027397260276</v>
      </c>
      <c r="J15" s="5">
        <f ca="1">ROUNDUP(IF(staff[[#This Row],[Tenure]]&gt;2,3%,2%)*staff[[#This Row],[Salary]],0)</f>
        <v>1260</v>
      </c>
      <c r="K15">
        <f>_xlfn.XLOOKUP(staff[[#This Row],[Rating]],'Salary vs. Rating'!$B$12:$B$16,'Salary vs. Rating'!$C$12:$C$16)</f>
        <v>3</v>
      </c>
      <c r="L15" s="17" t="s">
        <v>6</v>
      </c>
      <c r="M15" s="13" t="str">
        <f ca="1"/>
        <v>Average</v>
      </c>
    </row>
    <row r="16" spans="1:15" x14ac:dyDescent="0.25">
      <c r="A16" t="s">
        <v>80</v>
      </c>
      <c r="B16" t="s">
        <v>15</v>
      </c>
      <c r="C16">
        <v>28</v>
      </c>
      <c r="D16" t="s">
        <v>42</v>
      </c>
      <c r="E16" s="6">
        <v>44820</v>
      </c>
      <c r="F16" t="s">
        <v>19</v>
      </c>
      <c r="G16" s="5">
        <v>43510</v>
      </c>
      <c r="H16" t="s">
        <v>203</v>
      </c>
      <c r="I16" s="7">
        <f ca="1">(TODAY() -staff[[#This Row],[Date Joined]])/365</f>
        <v>0.75616438356164384</v>
      </c>
      <c r="J16" s="5">
        <f ca="1">ROUNDUP(IF(staff[[#This Row],[Tenure]]&gt;2,3%,2%)*staff[[#This Row],[Salary]],0)</f>
        <v>871</v>
      </c>
      <c r="K16">
        <f>_xlfn.XLOOKUP(staff[[#This Row],[Rating]],'Salary vs. Rating'!$B$12:$B$16,'Salary vs. Rating'!$C$12:$C$16)</f>
        <v>1</v>
      </c>
      <c r="L16" s="17" t="s">
        <v>4</v>
      </c>
      <c r="M16" s="15">
        <f ca="1"/>
        <v>44148</v>
      </c>
    </row>
    <row r="17" spans="1:13" x14ac:dyDescent="0.25">
      <c r="A17" t="s">
        <v>171</v>
      </c>
      <c r="B17" t="s">
        <v>15</v>
      </c>
      <c r="C17">
        <v>28</v>
      </c>
      <c r="D17" t="s">
        <v>42</v>
      </c>
      <c r="E17" s="6">
        <v>44758</v>
      </c>
      <c r="F17" t="s">
        <v>19</v>
      </c>
      <c r="G17" s="5">
        <v>43510</v>
      </c>
      <c r="H17" t="s">
        <v>205</v>
      </c>
      <c r="I17" s="7">
        <f ca="1">(TODAY() -staff[[#This Row],[Date Joined]])/365</f>
        <v>0.92602739726027394</v>
      </c>
      <c r="J17" s="5">
        <f ca="1">ROUNDUP(IF(staff[[#This Row],[Tenure]]&gt;2,3%,2%)*staff[[#This Row],[Salary]],0)</f>
        <v>871</v>
      </c>
      <c r="K17">
        <f>_xlfn.XLOOKUP(staff[[#This Row],[Rating]],'Salary vs. Rating'!$B$12:$B$16,'Salary vs. Rating'!$C$12:$C$16)</f>
        <v>1</v>
      </c>
      <c r="L17" s="17" t="s">
        <v>2</v>
      </c>
      <c r="M17" s="13" t="str">
        <f ca="1"/>
        <v>Website</v>
      </c>
    </row>
    <row r="18" spans="1:13" x14ac:dyDescent="0.25">
      <c r="A18" t="s">
        <v>84</v>
      </c>
      <c r="B18" t="s">
        <v>8</v>
      </c>
      <c r="C18">
        <v>32</v>
      </c>
      <c r="D18" t="s">
        <v>13</v>
      </c>
      <c r="E18" s="6">
        <v>44354</v>
      </c>
      <c r="F18" t="s">
        <v>12</v>
      </c>
      <c r="G18" s="5">
        <v>43840</v>
      </c>
      <c r="H18" t="s">
        <v>203</v>
      </c>
      <c r="I18" s="7">
        <f ca="1">(TODAY() -staff[[#This Row],[Date Joined]])/365</f>
        <v>2.032876712328767</v>
      </c>
      <c r="J18" s="5">
        <f ca="1">ROUNDUP(IF(staff[[#This Row],[Tenure]]&gt;2,3%,2%)*staff[[#This Row],[Salary]],0)</f>
        <v>1316</v>
      </c>
      <c r="K18">
        <f>_xlfn.XLOOKUP(staff[[#This Row],[Rating]],'Salary vs. Rating'!$B$12:$B$16,'Salary vs. Rating'!$C$12:$C$16)</f>
        <v>4</v>
      </c>
      <c r="L18" s="17" t="s">
        <v>5</v>
      </c>
      <c r="M18" s="13">
        <f ca="1"/>
        <v>62780</v>
      </c>
    </row>
    <row r="19" spans="1:13" x14ac:dyDescent="0.25">
      <c r="A19" t="s">
        <v>175</v>
      </c>
      <c r="B19" t="s">
        <v>8</v>
      </c>
      <c r="C19">
        <v>32</v>
      </c>
      <c r="D19" t="s">
        <v>13</v>
      </c>
      <c r="E19" s="6">
        <v>44293</v>
      </c>
      <c r="F19" t="s">
        <v>12</v>
      </c>
      <c r="G19" s="5">
        <v>43840</v>
      </c>
      <c r="H19" t="s">
        <v>205</v>
      </c>
      <c r="I19" s="7">
        <f ca="1">(TODAY() -staff[[#This Row],[Date Joined]])/365</f>
        <v>2.2000000000000002</v>
      </c>
      <c r="J19" s="5">
        <f ca="1">ROUNDUP(IF(staff[[#This Row],[Tenure]]&gt;2,3%,2%)*staff[[#This Row],[Salary]],0)</f>
        <v>1316</v>
      </c>
      <c r="K19">
        <f>_xlfn.XLOOKUP(staff[[#This Row],[Rating]],'Salary vs. Rating'!$B$12:$B$16,'Salary vs. Rating'!$C$12:$C$16)</f>
        <v>4</v>
      </c>
      <c r="L19" s="17" t="s">
        <v>202</v>
      </c>
      <c r="M19" s="13" t="str">
        <f ca="1"/>
        <v>NZ</v>
      </c>
    </row>
    <row r="20" spans="1:13" x14ac:dyDescent="0.25">
      <c r="A20" t="s">
        <v>108</v>
      </c>
      <c r="B20" t="s">
        <v>8</v>
      </c>
      <c r="C20">
        <v>32</v>
      </c>
      <c r="D20" t="s">
        <v>16</v>
      </c>
      <c r="E20" s="6">
        <v>44400</v>
      </c>
      <c r="F20" t="s">
        <v>56</v>
      </c>
      <c r="G20" s="5">
        <v>45510</v>
      </c>
      <c r="H20" t="s">
        <v>203</v>
      </c>
      <c r="I20" s="7">
        <f ca="1">(TODAY() -staff[[#This Row],[Date Joined]])/365</f>
        <v>1.9068493150684931</v>
      </c>
      <c r="J20" s="5">
        <f ca="1">ROUNDUP(IF(staff[[#This Row],[Tenure]]&gt;2,3%,2%)*staff[[#This Row],[Salary]],0)</f>
        <v>911</v>
      </c>
      <c r="K20">
        <f>_xlfn.XLOOKUP(staff[[#This Row],[Rating]],'Salary vs. Rating'!$B$12:$B$16,'Salary vs. Rating'!$C$12:$C$16)</f>
        <v>3</v>
      </c>
      <c r="L20" s="17" t="s">
        <v>210</v>
      </c>
      <c r="M20" s="14">
        <f ca="1"/>
        <v>2.5972602739726027</v>
      </c>
    </row>
    <row r="21" spans="1:13" x14ac:dyDescent="0.25">
      <c r="A21" t="s">
        <v>200</v>
      </c>
      <c r="B21" t="s">
        <v>8</v>
      </c>
      <c r="C21">
        <v>32</v>
      </c>
      <c r="D21" t="s">
        <v>16</v>
      </c>
      <c r="E21" s="6">
        <v>44339</v>
      </c>
      <c r="F21" t="s">
        <v>56</v>
      </c>
      <c r="G21" s="5">
        <v>45510</v>
      </c>
      <c r="H21" t="s">
        <v>205</v>
      </c>
      <c r="I21" s="7">
        <f ca="1">(TODAY() -staff[[#This Row],[Date Joined]])/365</f>
        <v>2.0739726027397261</v>
      </c>
      <c r="J21" s="5">
        <f ca="1">ROUNDUP(IF(staff[[#This Row],[Tenure]]&gt;2,3%,2%)*staff[[#This Row],[Salary]],0)</f>
        <v>1366</v>
      </c>
      <c r="K21">
        <f>_xlfn.XLOOKUP(staff[[#This Row],[Rating]],'Salary vs. Rating'!$B$12:$B$16,'Salary vs. Rating'!$C$12:$C$16)</f>
        <v>3</v>
      </c>
    </row>
    <row r="22" spans="1:13" x14ac:dyDescent="0.25">
      <c r="A22" t="s">
        <v>59</v>
      </c>
      <c r="B22" t="s">
        <v>15</v>
      </c>
      <c r="C22">
        <v>26</v>
      </c>
      <c r="D22" t="s">
        <v>16</v>
      </c>
      <c r="E22" s="6">
        <v>44225</v>
      </c>
      <c r="F22" t="s">
        <v>9</v>
      </c>
      <c r="G22" s="5">
        <v>47360</v>
      </c>
      <c r="H22" t="s">
        <v>203</v>
      </c>
      <c r="I22" s="7">
        <f ca="1">(TODAY() -staff[[#This Row],[Date Joined]])/365</f>
        <v>2.3863013698630136</v>
      </c>
      <c r="J22" s="5">
        <f ca="1">ROUNDUP(IF(staff[[#This Row],[Tenure]]&gt;2,3%,2%)*staff[[#This Row],[Salary]],0)</f>
        <v>1421</v>
      </c>
      <c r="K22">
        <f>_xlfn.XLOOKUP(staff[[#This Row],[Rating]],'Salary vs. Rating'!$B$12:$B$16,'Salary vs. Rating'!$C$12:$C$16)</f>
        <v>3</v>
      </c>
    </row>
    <row r="23" spans="1:13" x14ac:dyDescent="0.25">
      <c r="A23" t="s">
        <v>150</v>
      </c>
      <c r="B23" t="s">
        <v>15</v>
      </c>
      <c r="C23">
        <v>26</v>
      </c>
      <c r="D23" t="s">
        <v>16</v>
      </c>
      <c r="E23" s="6">
        <v>44164</v>
      </c>
      <c r="F23" t="s">
        <v>9</v>
      </c>
      <c r="G23" s="5">
        <v>47360</v>
      </c>
      <c r="H23" t="s">
        <v>205</v>
      </c>
      <c r="I23" s="7">
        <f ca="1">(TODAY() -staff[[#This Row],[Date Joined]])/365</f>
        <v>2.5534246575342467</v>
      </c>
      <c r="J23" s="5">
        <f ca="1">ROUNDUP(IF(staff[[#This Row],[Tenure]]&gt;2,3%,2%)*staff[[#This Row],[Salary]],0)</f>
        <v>1421</v>
      </c>
      <c r="K23">
        <f>_xlfn.XLOOKUP(staff[[#This Row],[Rating]],'Salary vs. Rating'!$B$12:$B$16,'Salary vs. Rating'!$C$12:$C$16)</f>
        <v>3</v>
      </c>
    </row>
    <row r="24" spans="1:13" x14ac:dyDescent="0.25">
      <c r="A24" t="s">
        <v>29</v>
      </c>
      <c r="B24" t="s">
        <v>15</v>
      </c>
      <c r="C24">
        <v>28</v>
      </c>
      <c r="D24" t="s">
        <v>13</v>
      </c>
      <c r="E24" s="6">
        <v>44041</v>
      </c>
      <c r="F24" t="s">
        <v>21</v>
      </c>
      <c r="G24" s="5">
        <v>48170</v>
      </c>
      <c r="H24" t="s">
        <v>203</v>
      </c>
      <c r="I24" s="7">
        <f ca="1">(TODAY() -staff[[#This Row],[Date Joined]])/365</f>
        <v>2.8904109589041096</v>
      </c>
      <c r="J24" s="5">
        <f ca="1">ROUNDUP(IF(staff[[#This Row],[Tenure]]&gt;2,3%,2%)*staff[[#This Row],[Salary]],0)</f>
        <v>1446</v>
      </c>
      <c r="K24">
        <f>_xlfn.XLOOKUP(staff[[#This Row],[Rating]],'Salary vs. Rating'!$B$12:$B$16,'Salary vs. Rating'!$C$12:$C$16)</f>
        <v>4</v>
      </c>
    </row>
    <row r="25" spans="1:13" x14ac:dyDescent="0.25">
      <c r="A25" t="s">
        <v>122</v>
      </c>
      <c r="B25" t="s">
        <v>15</v>
      </c>
      <c r="C25">
        <v>28</v>
      </c>
      <c r="D25" t="s">
        <v>13</v>
      </c>
      <c r="E25" s="6">
        <v>43980</v>
      </c>
      <c r="F25" t="s">
        <v>21</v>
      </c>
      <c r="G25" s="5">
        <v>48170</v>
      </c>
      <c r="H25" t="s">
        <v>205</v>
      </c>
      <c r="I25" s="7">
        <f ca="1">(TODAY() -staff[[#This Row],[Date Joined]])/365</f>
        <v>3.0575342465753423</v>
      </c>
      <c r="J25" s="5">
        <f ca="1">ROUNDUP(IF(staff[[#This Row],[Tenure]]&gt;2,3%,2%)*staff[[#This Row],[Salary]],0)</f>
        <v>1446</v>
      </c>
      <c r="K25">
        <f>_xlfn.XLOOKUP(staff[[#This Row],[Rating]],'Salary vs. Rating'!$B$12:$B$16,'Salary vs. Rating'!$C$12:$C$16)</f>
        <v>4</v>
      </c>
    </row>
    <row r="26" spans="1:13" x14ac:dyDescent="0.25">
      <c r="A26" t="s">
        <v>51</v>
      </c>
      <c r="B26" t="s">
        <v>15</v>
      </c>
      <c r="C26">
        <v>33</v>
      </c>
      <c r="D26" t="s">
        <v>13</v>
      </c>
      <c r="E26" s="6">
        <v>44701</v>
      </c>
      <c r="F26" t="s">
        <v>9</v>
      </c>
      <c r="G26" s="5">
        <v>48530</v>
      </c>
      <c r="H26" t="s">
        <v>203</v>
      </c>
      <c r="I26" s="7">
        <f ca="1">(TODAY() -staff[[#This Row],[Date Joined]])/365</f>
        <v>1.0821917808219179</v>
      </c>
      <c r="J26" s="5">
        <f ca="1">ROUNDUP(IF(staff[[#This Row],[Tenure]]&gt;2,3%,2%)*staff[[#This Row],[Salary]],0)</f>
        <v>971</v>
      </c>
      <c r="K26">
        <f>_xlfn.XLOOKUP(staff[[#This Row],[Rating]],'Salary vs. Rating'!$B$12:$B$16,'Salary vs. Rating'!$C$12:$C$16)</f>
        <v>4</v>
      </c>
    </row>
    <row r="27" spans="1:13" x14ac:dyDescent="0.25">
      <c r="A27" t="s">
        <v>143</v>
      </c>
      <c r="B27" t="s">
        <v>15</v>
      </c>
      <c r="C27">
        <v>33</v>
      </c>
      <c r="D27" t="s">
        <v>13</v>
      </c>
      <c r="E27" s="6">
        <v>44640</v>
      </c>
      <c r="F27" t="s">
        <v>9</v>
      </c>
      <c r="G27" s="5">
        <v>48530</v>
      </c>
      <c r="H27" t="s">
        <v>205</v>
      </c>
      <c r="I27" s="7">
        <f ca="1">(TODAY() -staff[[#This Row],[Date Joined]])/365</f>
        <v>1.2493150684931507</v>
      </c>
      <c r="J27" s="5">
        <f ca="1">ROUNDUP(IF(staff[[#This Row],[Tenure]]&gt;2,3%,2%)*staff[[#This Row],[Salary]],0)</f>
        <v>971</v>
      </c>
      <c r="K27">
        <f>_xlfn.XLOOKUP(staff[[#This Row],[Rating]],'Salary vs. Rating'!$B$12:$B$16,'Salary vs. Rating'!$C$12:$C$16)</f>
        <v>4</v>
      </c>
    </row>
    <row r="28" spans="1:13" x14ac:dyDescent="0.25">
      <c r="A28" t="s">
        <v>14</v>
      </c>
      <c r="B28" t="s">
        <v>15</v>
      </c>
      <c r="C28">
        <v>31</v>
      </c>
      <c r="D28" t="s">
        <v>16</v>
      </c>
      <c r="E28" s="6">
        <v>44511</v>
      </c>
      <c r="F28" t="s">
        <v>12</v>
      </c>
      <c r="G28" s="5">
        <v>48950</v>
      </c>
      <c r="H28" t="s">
        <v>203</v>
      </c>
      <c r="I28" s="7">
        <f ca="1">(TODAY() -staff[[#This Row],[Date Joined]])/365</f>
        <v>1.6027397260273972</v>
      </c>
      <c r="J28" s="5">
        <f ca="1">ROUNDUP(IF(staff[[#This Row],[Tenure]]&gt;2,3%,2%)*staff[[#This Row],[Salary]],0)</f>
        <v>979</v>
      </c>
      <c r="K28">
        <f>_xlfn.XLOOKUP(staff[[#This Row],[Rating]],'Salary vs. Rating'!$B$12:$B$16,'Salary vs. Rating'!$C$12:$C$16)</f>
        <v>3</v>
      </c>
    </row>
    <row r="29" spans="1:13" x14ac:dyDescent="0.25">
      <c r="A29" t="s">
        <v>112</v>
      </c>
      <c r="B29" t="s">
        <v>15</v>
      </c>
      <c r="C29">
        <v>31</v>
      </c>
      <c r="D29" t="s">
        <v>16</v>
      </c>
      <c r="E29" s="6">
        <v>44450</v>
      </c>
      <c r="F29" t="s">
        <v>12</v>
      </c>
      <c r="G29" s="5">
        <v>48950</v>
      </c>
      <c r="H29" t="s">
        <v>205</v>
      </c>
      <c r="I29" s="7">
        <f ca="1">(TODAY() -staff[[#This Row],[Date Joined]])/365</f>
        <v>1.7698630136986302</v>
      </c>
      <c r="J29" s="5">
        <f ca="1">ROUNDUP(IF(staff[[#This Row],[Tenure]]&gt;2,3%,2%)*staff[[#This Row],[Salary]],0)</f>
        <v>979</v>
      </c>
      <c r="K29">
        <f>_xlfn.XLOOKUP(staff[[#This Row],[Rating]],'Salary vs. Rating'!$B$12:$B$16,'Salary vs. Rating'!$C$12:$C$16)</f>
        <v>3</v>
      </c>
    </row>
    <row r="30" spans="1:13" x14ac:dyDescent="0.25">
      <c r="A30" t="s">
        <v>53</v>
      </c>
      <c r="B30" t="s">
        <v>15</v>
      </c>
      <c r="C30">
        <v>27</v>
      </c>
      <c r="D30" t="s">
        <v>16</v>
      </c>
      <c r="E30" s="6">
        <v>44567</v>
      </c>
      <c r="F30" t="s">
        <v>21</v>
      </c>
      <c r="G30" s="5">
        <v>48980</v>
      </c>
      <c r="H30" t="s">
        <v>203</v>
      </c>
      <c r="I30" s="7">
        <f ca="1">(TODAY() -staff[[#This Row],[Date Joined]])/365</f>
        <v>1.4493150684931506</v>
      </c>
      <c r="J30" s="5">
        <f ca="1">ROUNDUP(IF(staff[[#This Row],[Tenure]]&gt;2,3%,2%)*staff[[#This Row],[Salary]],0)</f>
        <v>980</v>
      </c>
      <c r="K30">
        <f>_xlfn.XLOOKUP(staff[[#This Row],[Rating]],'Salary vs. Rating'!$B$12:$B$16,'Salary vs. Rating'!$C$12:$C$16)</f>
        <v>3</v>
      </c>
    </row>
    <row r="31" spans="1:13" x14ac:dyDescent="0.25">
      <c r="A31" t="s">
        <v>145</v>
      </c>
      <c r="B31" t="s">
        <v>15</v>
      </c>
      <c r="C31">
        <v>27</v>
      </c>
      <c r="D31" t="s">
        <v>16</v>
      </c>
      <c r="E31" s="6">
        <v>44506</v>
      </c>
      <c r="F31" t="s">
        <v>21</v>
      </c>
      <c r="G31" s="5">
        <v>48980</v>
      </c>
      <c r="H31" t="s">
        <v>205</v>
      </c>
      <c r="I31" s="7">
        <f ca="1">(TODAY() -staff[[#This Row],[Date Joined]])/365</f>
        <v>1.6164383561643836</v>
      </c>
      <c r="J31" s="5">
        <f ca="1">ROUNDUP(IF(staff[[#This Row],[Tenure]]&gt;2,3%,2%)*staff[[#This Row],[Salary]],0)</f>
        <v>980</v>
      </c>
      <c r="K31">
        <f>_xlfn.XLOOKUP(staff[[#This Row],[Rating]],'Salary vs. Rating'!$B$12:$B$16,'Salary vs. Rating'!$C$12:$C$16)</f>
        <v>3</v>
      </c>
    </row>
    <row r="32" spans="1:13" x14ac:dyDescent="0.25">
      <c r="A32" t="s">
        <v>73</v>
      </c>
      <c r="B32" t="s">
        <v>8</v>
      </c>
      <c r="C32">
        <v>34</v>
      </c>
      <c r="D32" t="s">
        <v>24</v>
      </c>
      <c r="E32" s="6">
        <v>44721</v>
      </c>
      <c r="F32" t="s">
        <v>19</v>
      </c>
      <c r="G32" s="5">
        <v>49630</v>
      </c>
      <c r="H32" t="s">
        <v>203</v>
      </c>
      <c r="I32" s="7">
        <f ca="1">(TODAY() -staff[[#This Row],[Date Joined]])/365</f>
        <v>1.0273972602739727</v>
      </c>
      <c r="J32" s="5">
        <f ca="1">ROUNDUP(IF(staff[[#This Row],[Tenure]]&gt;2,3%,2%)*staff[[#This Row],[Salary]],0)</f>
        <v>993</v>
      </c>
      <c r="K32">
        <f>_xlfn.XLOOKUP(staff[[#This Row],[Rating]],'Salary vs. Rating'!$B$12:$B$16,'Salary vs. Rating'!$C$12:$C$16)</f>
        <v>2</v>
      </c>
    </row>
    <row r="33" spans="1:11" x14ac:dyDescent="0.25">
      <c r="A33" t="s">
        <v>164</v>
      </c>
      <c r="B33" t="s">
        <v>8</v>
      </c>
      <c r="C33">
        <v>34</v>
      </c>
      <c r="D33" t="s">
        <v>24</v>
      </c>
      <c r="E33" s="6">
        <v>44660</v>
      </c>
      <c r="F33" t="s">
        <v>19</v>
      </c>
      <c r="G33" s="5">
        <v>49630</v>
      </c>
      <c r="H33" t="s">
        <v>205</v>
      </c>
      <c r="I33" s="7">
        <f ca="1">(TODAY() -staff[[#This Row],[Date Joined]])/365</f>
        <v>1.1945205479452055</v>
      </c>
      <c r="J33" s="5">
        <f ca="1">ROUNDUP(IF(staff[[#This Row],[Tenure]]&gt;2,3%,2%)*staff[[#This Row],[Salary]],0)</f>
        <v>993</v>
      </c>
      <c r="K33">
        <f>_xlfn.XLOOKUP(staff[[#This Row],[Rating]],'Salary vs. Rating'!$B$12:$B$16,'Salary vs. Rating'!$C$12:$C$16)</f>
        <v>2</v>
      </c>
    </row>
    <row r="34" spans="1:11" x14ac:dyDescent="0.25">
      <c r="A34" t="s">
        <v>63</v>
      </c>
      <c r="B34" t="s">
        <v>15</v>
      </c>
      <c r="C34">
        <v>24</v>
      </c>
      <c r="D34" t="s">
        <v>24</v>
      </c>
      <c r="E34" s="6">
        <v>44436</v>
      </c>
      <c r="F34" t="s">
        <v>21</v>
      </c>
      <c r="G34" s="5">
        <v>52610</v>
      </c>
      <c r="H34" t="s">
        <v>203</v>
      </c>
      <c r="I34" s="7">
        <f ca="1">(TODAY() -staff[[#This Row],[Date Joined]])/365</f>
        <v>1.8082191780821917</v>
      </c>
      <c r="J34" s="5">
        <f ca="1">ROUNDUP(IF(staff[[#This Row],[Tenure]]&gt;2,3%,2%)*staff[[#This Row],[Salary]],0)</f>
        <v>1053</v>
      </c>
      <c r="K34">
        <f>_xlfn.XLOOKUP(staff[[#This Row],[Rating]],'Salary vs. Rating'!$B$12:$B$16,'Salary vs. Rating'!$C$12:$C$16)</f>
        <v>2</v>
      </c>
    </row>
    <row r="35" spans="1:11" x14ac:dyDescent="0.25">
      <c r="A35" t="s">
        <v>154</v>
      </c>
      <c r="B35" t="s">
        <v>15</v>
      </c>
      <c r="C35">
        <v>24</v>
      </c>
      <c r="D35" t="s">
        <v>24</v>
      </c>
      <c r="E35" s="6">
        <v>44375</v>
      </c>
      <c r="F35" t="s">
        <v>21</v>
      </c>
      <c r="G35" s="5">
        <v>52610</v>
      </c>
      <c r="H35" t="s">
        <v>205</v>
      </c>
      <c r="I35" s="7">
        <f ca="1">(TODAY() -staff[[#This Row],[Date Joined]])/365</f>
        <v>1.9753424657534246</v>
      </c>
      <c r="J35" s="5">
        <f ca="1">ROUNDUP(IF(staff[[#This Row],[Tenure]]&gt;2,3%,2%)*staff[[#This Row],[Salary]],0)</f>
        <v>1053</v>
      </c>
      <c r="K35">
        <f>_xlfn.XLOOKUP(staff[[#This Row],[Rating]],'Salary vs. Rating'!$B$12:$B$16,'Salary vs. Rating'!$C$12:$C$16)</f>
        <v>2</v>
      </c>
    </row>
    <row r="36" spans="1:11" x14ac:dyDescent="0.25">
      <c r="A36" t="s">
        <v>75</v>
      </c>
      <c r="B36" t="s">
        <v>8</v>
      </c>
      <c r="C36">
        <v>28</v>
      </c>
      <c r="D36" t="s">
        <v>16</v>
      </c>
      <c r="E36" s="6">
        <v>44357</v>
      </c>
      <c r="F36" t="s">
        <v>19</v>
      </c>
      <c r="G36" s="5">
        <v>53240</v>
      </c>
      <c r="H36" t="s">
        <v>203</v>
      </c>
      <c r="I36" s="7">
        <f ca="1">(TODAY() -staff[[#This Row],[Date Joined]])/365</f>
        <v>2.0246575342465754</v>
      </c>
      <c r="J36" s="5">
        <f ca="1">ROUNDUP(IF(staff[[#This Row],[Tenure]]&gt;2,3%,2%)*staff[[#This Row],[Salary]],0)</f>
        <v>1598</v>
      </c>
      <c r="K36">
        <f>_xlfn.XLOOKUP(staff[[#This Row],[Rating]],'Salary vs. Rating'!$B$12:$B$16,'Salary vs. Rating'!$C$12:$C$16)</f>
        <v>3</v>
      </c>
    </row>
    <row r="37" spans="1:11" x14ac:dyDescent="0.25">
      <c r="A37" t="s">
        <v>166</v>
      </c>
      <c r="B37" t="s">
        <v>8</v>
      </c>
      <c r="C37">
        <v>28</v>
      </c>
      <c r="D37" t="s">
        <v>16</v>
      </c>
      <c r="E37" s="6">
        <v>44296</v>
      </c>
      <c r="F37" t="s">
        <v>19</v>
      </c>
      <c r="G37" s="5">
        <v>53240</v>
      </c>
      <c r="H37" t="s">
        <v>205</v>
      </c>
      <c r="I37" s="7">
        <f ca="1">(TODAY() -staff[[#This Row],[Date Joined]])/365</f>
        <v>2.1917808219178081</v>
      </c>
      <c r="J37" s="5">
        <f ca="1">ROUNDUP(IF(staff[[#This Row],[Tenure]]&gt;2,3%,2%)*staff[[#This Row],[Salary]],0)</f>
        <v>1598</v>
      </c>
      <c r="K37">
        <f>_xlfn.XLOOKUP(staff[[#This Row],[Rating]],'Salary vs. Rating'!$B$12:$B$16,'Salary vs. Rating'!$C$12:$C$16)</f>
        <v>3</v>
      </c>
    </row>
    <row r="38" spans="1:11" x14ac:dyDescent="0.25">
      <c r="A38" t="s">
        <v>65</v>
      </c>
      <c r="B38" t="s">
        <v>15</v>
      </c>
      <c r="C38">
        <v>32</v>
      </c>
      <c r="D38" t="s">
        <v>16</v>
      </c>
      <c r="E38" s="6">
        <v>44465</v>
      </c>
      <c r="F38" t="s">
        <v>19</v>
      </c>
      <c r="G38" s="5">
        <v>53540</v>
      </c>
      <c r="H38" t="s">
        <v>203</v>
      </c>
      <c r="I38" s="7">
        <f ca="1">(TODAY() -staff[[#This Row],[Date Joined]])/365</f>
        <v>1.7287671232876711</v>
      </c>
      <c r="J38" s="5">
        <f ca="1">ROUNDUP(IF(staff[[#This Row],[Tenure]]&gt;2,3%,2%)*staff[[#This Row],[Salary]],0)</f>
        <v>1071</v>
      </c>
      <c r="K38">
        <f>_xlfn.XLOOKUP(staff[[#This Row],[Rating]],'Salary vs. Rating'!$B$12:$B$16,'Salary vs. Rating'!$C$12:$C$16)</f>
        <v>3</v>
      </c>
    </row>
    <row r="39" spans="1:11" x14ac:dyDescent="0.25">
      <c r="A39" t="s">
        <v>46</v>
      </c>
      <c r="B39" t="s">
        <v>15</v>
      </c>
      <c r="C39">
        <v>26</v>
      </c>
      <c r="D39" t="s">
        <v>16</v>
      </c>
      <c r="E39" s="6">
        <v>44411</v>
      </c>
      <c r="F39" t="s">
        <v>9</v>
      </c>
      <c r="G39" s="5">
        <v>53540</v>
      </c>
      <c r="H39" t="s">
        <v>203</v>
      </c>
      <c r="I39" s="7">
        <f ca="1">(TODAY() -staff[[#This Row],[Date Joined]])/365</f>
        <v>1.8767123287671232</v>
      </c>
      <c r="J39" s="5">
        <f ca="1">ROUNDUP(IF(staff[[#This Row],[Tenure]]&gt;2,3%,2%)*staff[[#This Row],[Salary]],0)</f>
        <v>1071</v>
      </c>
      <c r="K39">
        <f>_xlfn.XLOOKUP(staff[[#This Row],[Rating]],'Salary vs. Rating'!$B$12:$B$16,'Salary vs. Rating'!$C$12:$C$16)</f>
        <v>3</v>
      </c>
    </row>
    <row r="40" spans="1:11" x14ac:dyDescent="0.25">
      <c r="A40" t="s">
        <v>156</v>
      </c>
      <c r="B40" t="s">
        <v>15</v>
      </c>
      <c r="C40">
        <v>32</v>
      </c>
      <c r="D40" t="s">
        <v>16</v>
      </c>
      <c r="E40" s="6">
        <v>44403</v>
      </c>
      <c r="F40" t="s">
        <v>19</v>
      </c>
      <c r="G40" s="5">
        <v>53540</v>
      </c>
      <c r="H40" t="s">
        <v>205</v>
      </c>
      <c r="I40" s="7">
        <f ca="1">(TODAY() -staff[[#This Row],[Date Joined]])/365</f>
        <v>1.8986301369863015</v>
      </c>
      <c r="J40" s="5">
        <f ca="1">ROUNDUP(IF(staff[[#This Row],[Tenure]]&gt;2,3%,2%)*staff[[#This Row],[Salary]],0)</f>
        <v>1071</v>
      </c>
      <c r="K40">
        <f>_xlfn.XLOOKUP(staff[[#This Row],[Rating]],'Salary vs. Rating'!$B$12:$B$16,'Salary vs. Rating'!$C$12:$C$16)</f>
        <v>3</v>
      </c>
    </row>
    <row r="41" spans="1:11" x14ac:dyDescent="0.25">
      <c r="A41" t="s">
        <v>138</v>
      </c>
      <c r="B41" t="s">
        <v>15</v>
      </c>
      <c r="C41">
        <v>26</v>
      </c>
      <c r="D41" t="s">
        <v>16</v>
      </c>
      <c r="E41" s="6">
        <v>44350</v>
      </c>
      <c r="F41" t="s">
        <v>9</v>
      </c>
      <c r="G41" s="5">
        <v>53540</v>
      </c>
      <c r="H41" t="s">
        <v>205</v>
      </c>
      <c r="I41" s="7">
        <f ca="1">(TODAY() -staff[[#This Row],[Date Joined]])/365</f>
        <v>2.043835616438356</v>
      </c>
      <c r="J41" s="5">
        <f ca="1">ROUNDUP(IF(staff[[#This Row],[Tenure]]&gt;2,3%,2%)*staff[[#This Row],[Salary]],0)</f>
        <v>1607</v>
      </c>
      <c r="K41">
        <f>_xlfn.XLOOKUP(staff[[#This Row],[Rating]],'Salary vs. Rating'!$B$12:$B$16,'Salary vs. Rating'!$C$12:$C$16)</f>
        <v>3</v>
      </c>
    </row>
    <row r="42" spans="1:11" x14ac:dyDescent="0.25">
      <c r="A42" t="s">
        <v>82</v>
      </c>
      <c r="B42" t="s">
        <v>15</v>
      </c>
      <c r="C42">
        <v>33</v>
      </c>
      <c r="D42" t="s">
        <v>16</v>
      </c>
      <c r="E42" s="6">
        <v>44509</v>
      </c>
      <c r="F42" t="s">
        <v>12</v>
      </c>
      <c r="G42" s="5">
        <v>53870</v>
      </c>
      <c r="H42" t="s">
        <v>203</v>
      </c>
      <c r="I42" s="7">
        <f ca="1">(TODAY() -staff[[#This Row],[Date Joined]])/365</f>
        <v>1.6082191780821917</v>
      </c>
      <c r="J42" s="5">
        <f ca="1">ROUNDUP(IF(staff[[#This Row],[Tenure]]&gt;2,3%,2%)*staff[[#This Row],[Salary]],0)</f>
        <v>1078</v>
      </c>
      <c r="K42">
        <f>_xlfn.XLOOKUP(staff[[#This Row],[Rating]],'Salary vs. Rating'!$B$12:$B$16,'Salary vs. Rating'!$C$12:$C$16)</f>
        <v>3</v>
      </c>
    </row>
    <row r="43" spans="1:11" x14ac:dyDescent="0.25">
      <c r="A43" t="s">
        <v>173</v>
      </c>
      <c r="B43" t="s">
        <v>15</v>
      </c>
      <c r="C43">
        <v>33</v>
      </c>
      <c r="D43" t="s">
        <v>16</v>
      </c>
      <c r="E43" s="6">
        <v>44448</v>
      </c>
      <c r="F43" t="s">
        <v>12</v>
      </c>
      <c r="G43" s="5">
        <v>53870</v>
      </c>
      <c r="H43" t="s">
        <v>205</v>
      </c>
      <c r="I43" s="7">
        <f ca="1">(TODAY() -staff[[#This Row],[Date Joined]])/365</f>
        <v>1.7753424657534247</v>
      </c>
      <c r="J43" s="5">
        <f ca="1">ROUNDUP(IF(staff[[#This Row],[Tenure]]&gt;2,3%,2%)*staff[[#This Row],[Salary]],0)</f>
        <v>1078</v>
      </c>
      <c r="K43">
        <f>_xlfn.XLOOKUP(staff[[#This Row],[Rating]],'Salary vs. Rating'!$B$12:$B$16,'Salary vs. Rating'!$C$12:$C$16)</f>
        <v>3</v>
      </c>
    </row>
    <row r="44" spans="1:11" x14ac:dyDescent="0.25">
      <c r="A44" t="s">
        <v>89</v>
      </c>
      <c r="B44" t="s">
        <v>15</v>
      </c>
      <c r="C44">
        <v>27</v>
      </c>
      <c r="D44" t="s">
        <v>16</v>
      </c>
      <c r="E44" s="6">
        <v>44134</v>
      </c>
      <c r="F44" t="s">
        <v>19</v>
      </c>
      <c r="G44" s="5">
        <v>54970</v>
      </c>
      <c r="H44" t="s">
        <v>203</v>
      </c>
      <c r="I44" s="7">
        <f ca="1">(TODAY() -staff[[#This Row],[Date Joined]])/365</f>
        <v>2.6356164383561644</v>
      </c>
      <c r="J44" s="5">
        <f ca="1">ROUNDUP(IF(staff[[#This Row],[Tenure]]&gt;2,3%,2%)*staff[[#This Row],[Salary]],0)</f>
        <v>1650</v>
      </c>
      <c r="K44">
        <f>_xlfn.XLOOKUP(staff[[#This Row],[Rating]],'Salary vs. Rating'!$B$12:$B$16,'Salary vs. Rating'!$C$12:$C$16)</f>
        <v>3</v>
      </c>
    </row>
    <row r="45" spans="1:11" x14ac:dyDescent="0.25">
      <c r="A45" t="s">
        <v>181</v>
      </c>
      <c r="B45" t="s">
        <v>15</v>
      </c>
      <c r="C45">
        <v>27</v>
      </c>
      <c r="D45" t="s">
        <v>16</v>
      </c>
      <c r="E45" s="6">
        <v>44073</v>
      </c>
      <c r="F45" t="s">
        <v>19</v>
      </c>
      <c r="G45" s="5">
        <v>54970</v>
      </c>
      <c r="H45" t="s">
        <v>205</v>
      </c>
      <c r="I45" s="7">
        <f ca="1">(TODAY() -staff[[#This Row],[Date Joined]])/365</f>
        <v>2.8027397260273972</v>
      </c>
      <c r="J45" s="5">
        <f ca="1">ROUNDUP(IF(staff[[#This Row],[Tenure]]&gt;2,3%,2%)*staff[[#This Row],[Salary]],0)</f>
        <v>1650</v>
      </c>
      <c r="K45">
        <f>_xlfn.XLOOKUP(staff[[#This Row],[Rating]],'Salary vs. Rating'!$B$12:$B$16,'Salary vs. Rating'!$C$12:$C$16)</f>
        <v>3</v>
      </c>
    </row>
    <row r="46" spans="1:11" x14ac:dyDescent="0.25">
      <c r="A46" t="s">
        <v>109</v>
      </c>
      <c r="B46" t="s">
        <v>8</v>
      </c>
      <c r="C46">
        <v>38</v>
      </c>
      <c r="D46" t="s">
        <v>13</v>
      </c>
      <c r="E46" s="6">
        <v>44329</v>
      </c>
      <c r="F46" t="s">
        <v>19</v>
      </c>
      <c r="G46" s="5">
        <v>56870</v>
      </c>
      <c r="H46" t="s">
        <v>203</v>
      </c>
      <c r="I46" s="7">
        <f ca="1">(TODAY() -staff[[#This Row],[Date Joined]])/365</f>
        <v>2.1013698630136988</v>
      </c>
      <c r="J46" s="5">
        <f ca="1">ROUNDUP(IF(staff[[#This Row],[Tenure]]&gt;2,3%,2%)*staff[[#This Row],[Salary]],0)</f>
        <v>1707</v>
      </c>
      <c r="K46">
        <f>_xlfn.XLOOKUP(staff[[#This Row],[Rating]],'Salary vs. Rating'!$B$12:$B$16,'Salary vs. Rating'!$C$12:$C$16)</f>
        <v>4</v>
      </c>
    </row>
    <row r="47" spans="1:11" x14ac:dyDescent="0.25">
      <c r="A47" t="s">
        <v>201</v>
      </c>
      <c r="B47" t="s">
        <v>8</v>
      </c>
      <c r="C47">
        <v>38</v>
      </c>
      <c r="D47" t="s">
        <v>13</v>
      </c>
      <c r="E47" s="6">
        <v>44268</v>
      </c>
      <c r="F47" t="s">
        <v>19</v>
      </c>
      <c r="G47" s="5">
        <v>56870</v>
      </c>
      <c r="H47" t="s">
        <v>205</v>
      </c>
      <c r="I47" s="7">
        <f ca="1">(TODAY() -staff[[#This Row],[Date Joined]])/365</f>
        <v>2.2684931506849315</v>
      </c>
      <c r="J47" s="5">
        <f ca="1">ROUNDUP(IF(staff[[#This Row],[Tenure]]&gt;2,3%,2%)*staff[[#This Row],[Salary]],0)</f>
        <v>1707</v>
      </c>
      <c r="K47">
        <f>_xlfn.XLOOKUP(staff[[#This Row],[Rating]],'Salary vs. Rating'!$B$12:$B$16,'Salary vs. Rating'!$C$12:$C$16)</f>
        <v>4</v>
      </c>
    </row>
    <row r="48" spans="1:11" x14ac:dyDescent="0.25">
      <c r="A48" t="s">
        <v>31</v>
      </c>
      <c r="B48" t="s">
        <v>15</v>
      </c>
      <c r="C48">
        <v>21</v>
      </c>
      <c r="D48" t="s">
        <v>16</v>
      </c>
      <c r="E48" s="6">
        <v>44762</v>
      </c>
      <c r="F48" t="s">
        <v>9</v>
      </c>
      <c r="G48" s="5">
        <v>57090</v>
      </c>
      <c r="H48" t="s">
        <v>203</v>
      </c>
      <c r="I48" s="7">
        <f ca="1">(TODAY() -staff[[#This Row],[Date Joined]])/365</f>
        <v>0.91506849315068495</v>
      </c>
      <c r="J48" s="5">
        <f ca="1">ROUNDUP(IF(staff[[#This Row],[Tenure]]&gt;2,3%,2%)*staff[[#This Row],[Salary]],0)</f>
        <v>1142</v>
      </c>
      <c r="K48">
        <f>_xlfn.XLOOKUP(staff[[#This Row],[Rating]],'Salary vs. Rating'!$B$12:$B$16,'Salary vs. Rating'!$C$12:$C$16)</f>
        <v>3</v>
      </c>
    </row>
    <row r="49" spans="1:11" x14ac:dyDescent="0.25">
      <c r="A49" t="s">
        <v>124</v>
      </c>
      <c r="B49" t="s">
        <v>15</v>
      </c>
      <c r="C49">
        <v>21</v>
      </c>
      <c r="D49" t="s">
        <v>16</v>
      </c>
      <c r="E49" s="6">
        <v>44701</v>
      </c>
      <c r="F49" t="s">
        <v>9</v>
      </c>
      <c r="G49" s="5">
        <v>57090</v>
      </c>
      <c r="H49" t="s">
        <v>205</v>
      </c>
      <c r="I49" s="7">
        <f ca="1">(TODAY() -staff[[#This Row],[Date Joined]])/365</f>
        <v>1.0821917808219179</v>
      </c>
      <c r="J49" s="5">
        <f ca="1">ROUNDUP(IF(staff[[#This Row],[Tenure]]&gt;2,3%,2%)*staff[[#This Row],[Salary]],0)</f>
        <v>1142</v>
      </c>
      <c r="K49">
        <f>_xlfn.XLOOKUP(staff[[#This Row],[Rating]],'Salary vs. Rating'!$B$12:$B$16,'Salary vs. Rating'!$C$12:$C$16)</f>
        <v>3</v>
      </c>
    </row>
    <row r="50" spans="1:11" x14ac:dyDescent="0.25">
      <c r="A50" t="s">
        <v>26</v>
      </c>
      <c r="B50" t="s">
        <v>8</v>
      </c>
      <c r="C50">
        <v>31</v>
      </c>
      <c r="D50" t="s">
        <v>16</v>
      </c>
      <c r="E50" s="6">
        <v>44663</v>
      </c>
      <c r="F50" t="s">
        <v>12</v>
      </c>
      <c r="G50" s="5">
        <v>58100</v>
      </c>
      <c r="H50" t="s">
        <v>203</v>
      </c>
      <c r="I50" s="7">
        <f ca="1">(TODAY() -staff[[#This Row],[Date Joined]])/365</f>
        <v>1.1863013698630136</v>
      </c>
      <c r="J50" s="5">
        <f ca="1">ROUNDUP(IF(staff[[#This Row],[Tenure]]&gt;2,3%,2%)*staff[[#This Row],[Salary]],0)</f>
        <v>1162</v>
      </c>
      <c r="K50">
        <f>_xlfn.XLOOKUP(staff[[#This Row],[Rating]],'Salary vs. Rating'!$B$12:$B$16,'Salary vs. Rating'!$C$12:$C$16)</f>
        <v>3</v>
      </c>
    </row>
    <row r="51" spans="1:11" x14ac:dyDescent="0.25">
      <c r="A51" t="s">
        <v>119</v>
      </c>
      <c r="B51" t="s">
        <v>8</v>
      </c>
      <c r="C51">
        <v>31</v>
      </c>
      <c r="D51" t="s">
        <v>16</v>
      </c>
      <c r="E51" s="6">
        <v>44604</v>
      </c>
      <c r="F51" t="s">
        <v>12</v>
      </c>
      <c r="G51" s="5">
        <v>58100</v>
      </c>
      <c r="H51" t="s">
        <v>205</v>
      </c>
      <c r="I51" s="7">
        <f ca="1">(TODAY() -staff[[#This Row],[Date Joined]])/365</f>
        <v>1.3479452054794521</v>
      </c>
      <c r="J51" s="5">
        <f ca="1">ROUNDUP(IF(staff[[#This Row],[Tenure]]&gt;2,3%,2%)*staff[[#This Row],[Salary]],0)</f>
        <v>1162</v>
      </c>
      <c r="K51">
        <f>_xlfn.XLOOKUP(staff[[#This Row],[Rating]],'Salary vs. Rating'!$B$12:$B$16,'Salary vs. Rating'!$C$12:$C$16)</f>
        <v>3</v>
      </c>
    </row>
    <row r="52" spans="1:11" x14ac:dyDescent="0.25">
      <c r="A52" t="s">
        <v>36</v>
      </c>
      <c r="B52" t="s">
        <v>8</v>
      </c>
      <c r="C52">
        <v>34</v>
      </c>
      <c r="D52" t="s">
        <v>16</v>
      </c>
      <c r="E52" s="6">
        <v>44653</v>
      </c>
      <c r="F52" t="s">
        <v>21</v>
      </c>
      <c r="G52" s="5">
        <v>58940</v>
      </c>
      <c r="H52" t="s">
        <v>203</v>
      </c>
      <c r="I52" s="7">
        <f ca="1">(TODAY() -staff[[#This Row],[Date Joined]])/365</f>
        <v>1.2136986301369863</v>
      </c>
      <c r="J52" s="5">
        <f ca="1">ROUNDUP(IF(staff[[#This Row],[Tenure]]&gt;2,3%,2%)*staff[[#This Row],[Salary]],0)</f>
        <v>1179</v>
      </c>
      <c r="K52">
        <f>_xlfn.XLOOKUP(staff[[#This Row],[Rating]],'Salary vs. Rating'!$B$12:$B$16,'Salary vs. Rating'!$C$12:$C$16)</f>
        <v>3</v>
      </c>
    </row>
    <row r="53" spans="1:11" x14ac:dyDescent="0.25">
      <c r="A53" t="s">
        <v>129</v>
      </c>
      <c r="B53" t="s">
        <v>8</v>
      </c>
      <c r="C53">
        <v>34</v>
      </c>
      <c r="D53" t="s">
        <v>16</v>
      </c>
      <c r="E53" s="6">
        <v>44594</v>
      </c>
      <c r="F53" t="s">
        <v>21</v>
      </c>
      <c r="G53" s="5">
        <v>58940</v>
      </c>
      <c r="H53" t="s">
        <v>205</v>
      </c>
      <c r="I53" s="7">
        <f ca="1">(TODAY() -staff[[#This Row],[Date Joined]])/365</f>
        <v>1.3753424657534246</v>
      </c>
      <c r="J53" s="5">
        <f ca="1">ROUNDUP(IF(staff[[#This Row],[Tenure]]&gt;2,3%,2%)*staff[[#This Row],[Salary]],0)</f>
        <v>1179</v>
      </c>
      <c r="K53">
        <f>_xlfn.XLOOKUP(staff[[#This Row],[Rating]],'Salary vs. Rating'!$B$12:$B$16,'Salary vs. Rating'!$C$12:$C$16)</f>
        <v>3</v>
      </c>
    </row>
    <row r="54" spans="1:11" x14ac:dyDescent="0.25">
      <c r="A54" t="s">
        <v>100</v>
      </c>
      <c r="B54" t="s">
        <v>15</v>
      </c>
      <c r="C54">
        <v>19</v>
      </c>
      <c r="D54" t="s">
        <v>16</v>
      </c>
      <c r="E54" s="6">
        <v>44277</v>
      </c>
      <c r="F54" t="s">
        <v>9</v>
      </c>
      <c r="G54" s="5">
        <v>58960</v>
      </c>
      <c r="H54" t="s">
        <v>203</v>
      </c>
      <c r="I54" s="7">
        <f ca="1">(TODAY() -staff[[#This Row],[Date Joined]])/365</f>
        <v>2.2438356164383562</v>
      </c>
      <c r="J54" s="5">
        <f ca="1">ROUNDUP(IF(staff[[#This Row],[Tenure]]&gt;2,3%,2%)*staff[[#This Row],[Salary]],0)</f>
        <v>1769</v>
      </c>
      <c r="K54">
        <f>_xlfn.XLOOKUP(staff[[#This Row],[Rating]],'Salary vs. Rating'!$B$12:$B$16,'Salary vs. Rating'!$C$12:$C$16)</f>
        <v>3</v>
      </c>
    </row>
    <row r="55" spans="1:11" x14ac:dyDescent="0.25">
      <c r="A55" t="s">
        <v>192</v>
      </c>
      <c r="B55" t="s">
        <v>15</v>
      </c>
      <c r="C55">
        <v>19</v>
      </c>
      <c r="D55" t="s">
        <v>16</v>
      </c>
      <c r="E55" s="6">
        <v>44218</v>
      </c>
      <c r="F55" t="s">
        <v>9</v>
      </c>
      <c r="G55" s="5">
        <v>58960</v>
      </c>
      <c r="H55" t="s">
        <v>205</v>
      </c>
      <c r="I55" s="7">
        <f ca="1">(TODAY() -staff[[#This Row],[Date Joined]])/365</f>
        <v>2.4054794520547946</v>
      </c>
      <c r="J55" s="5">
        <f ca="1">ROUNDUP(IF(staff[[#This Row],[Tenure]]&gt;2,3%,2%)*staff[[#This Row],[Salary]],0)</f>
        <v>1769</v>
      </c>
      <c r="K55">
        <f>_xlfn.XLOOKUP(staff[[#This Row],[Rating]],'Salary vs. Rating'!$B$12:$B$16,'Salary vs. Rating'!$C$12:$C$16)</f>
        <v>3</v>
      </c>
    </row>
    <row r="56" spans="1:11" x14ac:dyDescent="0.25">
      <c r="A56" t="s">
        <v>79</v>
      </c>
      <c r="B56" t="s">
        <v>15</v>
      </c>
      <c r="C56">
        <v>33</v>
      </c>
      <c r="D56" t="s">
        <v>16</v>
      </c>
      <c r="E56" s="6">
        <v>44243</v>
      </c>
      <c r="F56" t="s">
        <v>21</v>
      </c>
      <c r="G56" s="5">
        <v>59430</v>
      </c>
      <c r="H56" t="s">
        <v>203</v>
      </c>
      <c r="I56" s="7">
        <f ca="1">(TODAY() -staff[[#This Row],[Date Joined]])/365</f>
        <v>2.3369863013698629</v>
      </c>
      <c r="J56" s="5">
        <f ca="1">ROUNDUP(IF(staff[[#This Row],[Tenure]]&gt;2,3%,2%)*staff[[#This Row],[Salary]],0)</f>
        <v>1783</v>
      </c>
      <c r="K56">
        <f>_xlfn.XLOOKUP(staff[[#This Row],[Rating]],'Salary vs. Rating'!$B$12:$B$16,'Salary vs. Rating'!$C$12:$C$16)</f>
        <v>3</v>
      </c>
    </row>
    <row r="57" spans="1:11" x14ac:dyDescent="0.25">
      <c r="A57" t="s">
        <v>170</v>
      </c>
      <c r="B57" t="s">
        <v>15</v>
      </c>
      <c r="C57">
        <v>33</v>
      </c>
      <c r="D57" t="s">
        <v>16</v>
      </c>
      <c r="E57" s="6">
        <v>44181</v>
      </c>
      <c r="F57" t="s">
        <v>21</v>
      </c>
      <c r="G57" s="5">
        <v>59430</v>
      </c>
      <c r="H57" t="s">
        <v>205</v>
      </c>
      <c r="I57" s="7">
        <f ca="1">(TODAY() -staff[[#This Row],[Date Joined]])/365</f>
        <v>2.506849315068493</v>
      </c>
      <c r="J57" s="5">
        <f ca="1">ROUNDUP(IF(staff[[#This Row],[Tenure]]&gt;2,3%,2%)*staff[[#This Row],[Salary]],0)</f>
        <v>1783</v>
      </c>
      <c r="K57">
        <f>_xlfn.XLOOKUP(staff[[#This Row],[Rating]],'Salary vs. Rating'!$B$12:$B$16,'Salary vs. Rating'!$C$12:$C$16)</f>
        <v>3</v>
      </c>
    </row>
    <row r="58" spans="1:11" x14ac:dyDescent="0.25">
      <c r="A58" t="s">
        <v>38</v>
      </c>
      <c r="B58" t="s">
        <v>8</v>
      </c>
      <c r="C58">
        <v>34</v>
      </c>
      <c r="D58" t="s">
        <v>16</v>
      </c>
      <c r="E58" s="6">
        <v>44612</v>
      </c>
      <c r="F58" t="s">
        <v>21</v>
      </c>
      <c r="G58" s="5">
        <v>60130</v>
      </c>
      <c r="H58" t="s">
        <v>203</v>
      </c>
      <c r="I58" s="7">
        <f ca="1">(TODAY() -staff[[#This Row],[Date Joined]])/365</f>
        <v>1.3260273972602741</v>
      </c>
      <c r="J58" s="5">
        <f ca="1">ROUNDUP(IF(staff[[#This Row],[Tenure]]&gt;2,3%,2%)*staff[[#This Row],[Salary]],0)</f>
        <v>1203</v>
      </c>
      <c r="K58">
        <f>_xlfn.XLOOKUP(staff[[#This Row],[Rating]],'Salary vs. Rating'!$B$12:$B$16,'Salary vs. Rating'!$C$12:$C$16)</f>
        <v>3</v>
      </c>
    </row>
    <row r="59" spans="1:11" x14ac:dyDescent="0.25">
      <c r="A59" t="s">
        <v>131</v>
      </c>
      <c r="B59" t="s">
        <v>8</v>
      </c>
      <c r="C59">
        <v>34</v>
      </c>
      <c r="D59" t="s">
        <v>16</v>
      </c>
      <c r="E59" s="6">
        <v>44550</v>
      </c>
      <c r="F59" t="s">
        <v>21</v>
      </c>
      <c r="G59" s="5">
        <v>60130</v>
      </c>
      <c r="H59" t="s">
        <v>205</v>
      </c>
      <c r="I59" s="7">
        <f ca="1">(TODAY() -staff[[#This Row],[Date Joined]])/365</f>
        <v>1.4958904109589042</v>
      </c>
      <c r="J59" s="5">
        <f ca="1">ROUNDUP(IF(staff[[#This Row],[Tenure]]&gt;2,3%,2%)*staff[[#This Row],[Salary]],0)</f>
        <v>1203</v>
      </c>
      <c r="K59">
        <f>_xlfn.XLOOKUP(staff[[#This Row],[Rating]],'Salary vs. Rating'!$B$12:$B$16,'Salary vs. Rating'!$C$12:$C$16)</f>
        <v>3</v>
      </c>
    </row>
    <row r="60" spans="1:11" x14ac:dyDescent="0.25">
      <c r="A60" t="s">
        <v>37</v>
      </c>
      <c r="B60" t="s">
        <v>15</v>
      </c>
      <c r="C60">
        <v>30</v>
      </c>
      <c r="D60" t="s">
        <v>16</v>
      </c>
      <c r="E60" s="6">
        <v>44666</v>
      </c>
      <c r="F60" t="s">
        <v>9</v>
      </c>
      <c r="G60" s="5">
        <v>60570</v>
      </c>
      <c r="H60" t="s">
        <v>203</v>
      </c>
      <c r="I60" s="7">
        <f ca="1">(TODAY() -staff[[#This Row],[Date Joined]])/365</f>
        <v>1.178082191780822</v>
      </c>
      <c r="J60" s="5">
        <f ca="1">ROUNDUP(IF(staff[[#This Row],[Tenure]]&gt;2,3%,2%)*staff[[#This Row],[Salary]],0)</f>
        <v>1212</v>
      </c>
      <c r="K60">
        <f>_xlfn.XLOOKUP(staff[[#This Row],[Rating]],'Salary vs. Rating'!$B$12:$B$16,'Salary vs. Rating'!$C$12:$C$16)</f>
        <v>3</v>
      </c>
    </row>
    <row r="61" spans="1:11" x14ac:dyDescent="0.25">
      <c r="A61" t="s">
        <v>130</v>
      </c>
      <c r="B61" t="s">
        <v>15</v>
      </c>
      <c r="C61">
        <v>30</v>
      </c>
      <c r="D61" t="s">
        <v>16</v>
      </c>
      <c r="E61" s="6">
        <v>44607</v>
      </c>
      <c r="F61" t="s">
        <v>9</v>
      </c>
      <c r="G61" s="5">
        <v>60570</v>
      </c>
      <c r="H61" t="s">
        <v>205</v>
      </c>
      <c r="I61" s="7">
        <f ca="1">(TODAY() -staff[[#This Row],[Date Joined]])/365</f>
        <v>1.3397260273972602</v>
      </c>
      <c r="J61" s="5">
        <f ca="1">ROUNDUP(IF(staff[[#This Row],[Tenure]]&gt;2,3%,2%)*staff[[#This Row],[Salary]],0)</f>
        <v>1212</v>
      </c>
      <c r="K61">
        <f>_xlfn.XLOOKUP(staff[[#This Row],[Rating]],'Salary vs. Rating'!$B$12:$B$16,'Salary vs. Rating'!$C$12:$C$16)</f>
        <v>3</v>
      </c>
    </row>
    <row r="62" spans="1:11" x14ac:dyDescent="0.25">
      <c r="A62" t="s">
        <v>61</v>
      </c>
      <c r="B62" t="s">
        <v>8</v>
      </c>
      <c r="C62">
        <v>24</v>
      </c>
      <c r="D62" t="s">
        <v>16</v>
      </c>
      <c r="E62" s="6">
        <v>44148</v>
      </c>
      <c r="F62" t="s">
        <v>12</v>
      </c>
      <c r="G62" s="5">
        <v>62780</v>
      </c>
      <c r="H62" t="s">
        <v>203</v>
      </c>
      <c r="I62" s="7">
        <f ca="1">(TODAY() -staff[[#This Row],[Date Joined]])/365</f>
        <v>2.5972602739726027</v>
      </c>
      <c r="J62" s="5">
        <f ca="1">ROUNDUP(IF(staff[[#This Row],[Tenure]]&gt;2,3%,2%)*staff[[#This Row],[Salary]],0)</f>
        <v>1884</v>
      </c>
      <c r="K62">
        <f>_xlfn.XLOOKUP(staff[[#This Row],[Rating]],'Salary vs. Rating'!$B$12:$B$16,'Salary vs. Rating'!$C$12:$C$16)</f>
        <v>3</v>
      </c>
    </row>
    <row r="63" spans="1:11" x14ac:dyDescent="0.25">
      <c r="A63" t="s">
        <v>152</v>
      </c>
      <c r="B63" t="s">
        <v>8</v>
      </c>
      <c r="C63">
        <v>24</v>
      </c>
      <c r="D63" t="s">
        <v>16</v>
      </c>
      <c r="E63" s="6">
        <v>44087</v>
      </c>
      <c r="F63" t="s">
        <v>12</v>
      </c>
      <c r="G63" s="5">
        <v>62780</v>
      </c>
      <c r="H63" t="s">
        <v>205</v>
      </c>
      <c r="I63" s="7">
        <f ca="1">(TODAY() -staff[[#This Row],[Date Joined]])/365</f>
        <v>2.7643835616438355</v>
      </c>
      <c r="J63" s="5">
        <f ca="1">ROUNDUP(IF(staff[[#This Row],[Tenure]]&gt;2,3%,2%)*staff[[#This Row],[Salary]],0)</f>
        <v>1884</v>
      </c>
      <c r="K63">
        <f>_xlfn.XLOOKUP(staff[[#This Row],[Rating]],'Salary vs. Rating'!$B$12:$B$16,'Salary vs. Rating'!$C$12:$C$16)</f>
        <v>3</v>
      </c>
    </row>
    <row r="64" spans="1:11" x14ac:dyDescent="0.25">
      <c r="A64" t="s">
        <v>20</v>
      </c>
      <c r="B64" t="s">
        <v>204</v>
      </c>
      <c r="C64">
        <v>30</v>
      </c>
      <c r="D64" t="s">
        <v>16</v>
      </c>
      <c r="E64" s="6">
        <v>44597</v>
      </c>
      <c r="F64" t="s">
        <v>21</v>
      </c>
      <c r="G64" s="5">
        <v>64000</v>
      </c>
      <c r="H64" t="s">
        <v>203</v>
      </c>
      <c r="I64" s="7">
        <f ca="1">(TODAY() -staff[[#This Row],[Date Joined]])/365</f>
        <v>1.3671232876712329</v>
      </c>
      <c r="J64" s="5">
        <f ca="1">ROUNDUP(IF(staff[[#This Row],[Tenure]]&gt;2,3%,2%)*staff[[#This Row],[Salary]],0)</f>
        <v>1280</v>
      </c>
      <c r="K64">
        <f>_xlfn.XLOOKUP(staff[[#This Row],[Rating]],'Salary vs. Rating'!$B$12:$B$16,'Salary vs. Rating'!$C$12:$C$16)</f>
        <v>3</v>
      </c>
    </row>
    <row r="65" spans="1:11" x14ac:dyDescent="0.25">
      <c r="A65" t="s">
        <v>115</v>
      </c>
      <c r="B65" t="s">
        <v>204</v>
      </c>
      <c r="C65">
        <v>30</v>
      </c>
      <c r="D65" t="s">
        <v>16</v>
      </c>
      <c r="E65" s="6">
        <v>44535</v>
      </c>
      <c r="F65" t="s">
        <v>21</v>
      </c>
      <c r="G65" s="5">
        <v>64000</v>
      </c>
      <c r="H65" t="s">
        <v>205</v>
      </c>
      <c r="I65" s="7">
        <f ca="1">(TODAY() -staff[[#This Row],[Date Joined]])/365</f>
        <v>1.536986301369863</v>
      </c>
      <c r="J65" s="5">
        <f ca="1">ROUNDUP(IF(staff[[#This Row],[Tenure]]&gt;2,3%,2%)*staff[[#This Row],[Salary]],0)</f>
        <v>1280</v>
      </c>
      <c r="K65">
        <f>_xlfn.XLOOKUP(staff[[#This Row],[Rating]],'Salary vs. Rating'!$B$12:$B$16,'Salary vs. Rating'!$C$12:$C$16)</f>
        <v>3</v>
      </c>
    </row>
    <row r="66" spans="1:11" x14ac:dyDescent="0.25">
      <c r="A66" t="s">
        <v>93</v>
      </c>
      <c r="B66" t="s">
        <v>8</v>
      </c>
      <c r="C66">
        <v>33</v>
      </c>
      <c r="D66" t="s">
        <v>16</v>
      </c>
      <c r="E66" s="6">
        <v>44067</v>
      </c>
      <c r="F66" t="s">
        <v>21</v>
      </c>
      <c r="G66" s="5">
        <v>65360</v>
      </c>
      <c r="H66" t="s">
        <v>203</v>
      </c>
      <c r="I66" s="7">
        <f ca="1">(TODAY() -staff[[#This Row],[Date Joined]])/365</f>
        <v>2.8191780821917809</v>
      </c>
      <c r="J66" s="5">
        <f ca="1">ROUNDUP(IF(staff[[#This Row],[Tenure]]&gt;2,3%,2%)*staff[[#This Row],[Salary]],0)</f>
        <v>1961</v>
      </c>
      <c r="K66">
        <f>_xlfn.XLOOKUP(staff[[#This Row],[Rating]],'Salary vs. Rating'!$B$12:$B$16,'Salary vs. Rating'!$C$12:$C$16)</f>
        <v>3</v>
      </c>
    </row>
    <row r="67" spans="1:11" x14ac:dyDescent="0.25">
      <c r="A67" t="s">
        <v>185</v>
      </c>
      <c r="B67" t="s">
        <v>8</v>
      </c>
      <c r="C67">
        <v>33</v>
      </c>
      <c r="D67" t="s">
        <v>16</v>
      </c>
      <c r="E67" s="6">
        <v>44006</v>
      </c>
      <c r="F67" t="s">
        <v>21</v>
      </c>
      <c r="G67" s="5">
        <v>65360</v>
      </c>
      <c r="H67" t="s">
        <v>205</v>
      </c>
      <c r="I67" s="7">
        <f ca="1">(TODAY() -staff[[#This Row],[Date Joined]])/365</f>
        <v>2.9863013698630136</v>
      </c>
      <c r="J67" s="5">
        <f ca="1">ROUNDUP(IF(staff[[#This Row],[Tenure]]&gt;2,3%,2%)*staff[[#This Row],[Salary]],0)</f>
        <v>1961</v>
      </c>
      <c r="K67">
        <f>_xlfn.XLOOKUP(staff[[#This Row],[Rating]],'Salary vs. Rating'!$B$12:$B$16,'Salary vs. Rating'!$C$12:$C$16)</f>
        <v>3</v>
      </c>
    </row>
    <row r="68" spans="1:11" x14ac:dyDescent="0.25">
      <c r="A68" t="s">
        <v>76</v>
      </c>
      <c r="B68" t="s">
        <v>15</v>
      </c>
      <c r="C68">
        <v>25</v>
      </c>
      <c r="D68" t="s">
        <v>16</v>
      </c>
      <c r="E68" s="6">
        <v>44383</v>
      </c>
      <c r="F68" t="s">
        <v>19</v>
      </c>
      <c r="G68" s="5">
        <v>65700</v>
      </c>
      <c r="H68" t="s">
        <v>203</v>
      </c>
      <c r="I68" s="7">
        <f ca="1">(TODAY() -staff[[#This Row],[Date Joined]])/365</f>
        <v>1.9534246575342467</v>
      </c>
      <c r="J68" s="5">
        <f ca="1">ROUNDUP(IF(staff[[#This Row],[Tenure]]&gt;2,3%,2%)*staff[[#This Row],[Salary]],0)</f>
        <v>1314</v>
      </c>
      <c r="K68">
        <f>_xlfn.XLOOKUP(staff[[#This Row],[Rating]],'Salary vs. Rating'!$B$12:$B$16,'Salary vs. Rating'!$C$12:$C$16)</f>
        <v>3</v>
      </c>
    </row>
    <row r="69" spans="1:11" x14ac:dyDescent="0.25">
      <c r="A69" t="s">
        <v>167</v>
      </c>
      <c r="B69" t="s">
        <v>15</v>
      </c>
      <c r="C69">
        <v>25</v>
      </c>
      <c r="D69" t="s">
        <v>16</v>
      </c>
      <c r="E69" s="6">
        <v>44322</v>
      </c>
      <c r="F69" t="s">
        <v>19</v>
      </c>
      <c r="G69" s="5">
        <v>65700</v>
      </c>
      <c r="H69" t="s">
        <v>205</v>
      </c>
      <c r="I69" s="7">
        <f ca="1">(TODAY() -staff[[#This Row],[Date Joined]])/365</f>
        <v>2.1205479452054794</v>
      </c>
      <c r="J69" s="5">
        <f ca="1">ROUNDUP(IF(staff[[#This Row],[Tenure]]&gt;2,3%,2%)*staff[[#This Row],[Salary]],0)</f>
        <v>1971</v>
      </c>
      <c r="K69">
        <f>_xlfn.XLOOKUP(staff[[#This Row],[Rating]],'Salary vs. Rating'!$B$12:$B$16,'Salary vs. Rating'!$C$12:$C$16)</f>
        <v>3</v>
      </c>
    </row>
    <row r="70" spans="1:11" x14ac:dyDescent="0.25">
      <c r="A70" t="s">
        <v>32</v>
      </c>
      <c r="B70" t="s">
        <v>8</v>
      </c>
      <c r="C70">
        <v>21</v>
      </c>
      <c r="D70" t="s">
        <v>16</v>
      </c>
      <c r="E70" s="6">
        <v>44317</v>
      </c>
      <c r="F70" t="s">
        <v>21</v>
      </c>
      <c r="G70" s="5">
        <v>65920</v>
      </c>
      <c r="H70" t="s">
        <v>203</v>
      </c>
      <c r="I70" s="7">
        <f ca="1">(TODAY() -staff[[#This Row],[Date Joined]])/365</f>
        <v>2.1342465753424658</v>
      </c>
      <c r="J70" s="5">
        <f ca="1">ROUNDUP(IF(staff[[#This Row],[Tenure]]&gt;2,3%,2%)*staff[[#This Row],[Salary]],0)</f>
        <v>1978</v>
      </c>
      <c r="K70">
        <f>_xlfn.XLOOKUP(staff[[#This Row],[Rating]],'Salary vs. Rating'!$B$12:$B$16,'Salary vs. Rating'!$C$12:$C$16)</f>
        <v>3</v>
      </c>
    </row>
    <row r="71" spans="1:11" x14ac:dyDescent="0.25">
      <c r="A71" t="s">
        <v>125</v>
      </c>
      <c r="B71" t="s">
        <v>8</v>
      </c>
      <c r="C71">
        <v>21</v>
      </c>
      <c r="D71" t="s">
        <v>16</v>
      </c>
      <c r="E71" s="6">
        <v>44256</v>
      </c>
      <c r="F71" t="s">
        <v>21</v>
      </c>
      <c r="G71" s="5">
        <v>65920</v>
      </c>
      <c r="H71" t="s">
        <v>205</v>
      </c>
      <c r="I71" s="7">
        <f ca="1">(TODAY() -staff[[#This Row],[Date Joined]])/365</f>
        <v>2.3013698630136985</v>
      </c>
      <c r="J71" s="5">
        <f ca="1">ROUNDUP(IF(staff[[#This Row],[Tenure]]&gt;2,3%,2%)*staff[[#This Row],[Salary]],0)</f>
        <v>1978</v>
      </c>
      <c r="K71">
        <f>_xlfn.XLOOKUP(staff[[#This Row],[Rating]],'Salary vs. Rating'!$B$12:$B$16,'Salary vs. Rating'!$C$12:$C$16)</f>
        <v>3</v>
      </c>
    </row>
    <row r="72" spans="1:11" x14ac:dyDescent="0.25">
      <c r="A72" t="s">
        <v>27</v>
      </c>
      <c r="B72" t="s">
        <v>8</v>
      </c>
      <c r="C72">
        <v>30</v>
      </c>
      <c r="D72" t="s">
        <v>24</v>
      </c>
      <c r="E72" s="6">
        <v>44389</v>
      </c>
      <c r="F72" t="s">
        <v>21</v>
      </c>
      <c r="G72" s="5">
        <v>67910</v>
      </c>
      <c r="H72" t="s">
        <v>203</v>
      </c>
      <c r="I72" s="7">
        <f ca="1">(TODAY() -staff[[#This Row],[Date Joined]])/365</f>
        <v>1.9369863013698629</v>
      </c>
      <c r="J72" s="5">
        <f ca="1">ROUNDUP(IF(staff[[#This Row],[Tenure]]&gt;2,3%,2%)*staff[[#This Row],[Salary]],0)</f>
        <v>1359</v>
      </c>
      <c r="K72">
        <f>_xlfn.XLOOKUP(staff[[#This Row],[Rating]],'Salary vs. Rating'!$B$12:$B$16,'Salary vs. Rating'!$C$12:$C$16)</f>
        <v>2</v>
      </c>
    </row>
    <row r="73" spans="1:11" x14ac:dyDescent="0.25">
      <c r="A73" t="s">
        <v>120</v>
      </c>
      <c r="B73" t="s">
        <v>8</v>
      </c>
      <c r="C73">
        <v>30</v>
      </c>
      <c r="D73" t="s">
        <v>24</v>
      </c>
      <c r="E73" s="6">
        <v>44328</v>
      </c>
      <c r="F73" t="s">
        <v>21</v>
      </c>
      <c r="G73" s="5">
        <v>67910</v>
      </c>
      <c r="H73" t="s">
        <v>205</v>
      </c>
      <c r="I73" s="7">
        <f ca="1">(TODAY() -staff[[#This Row],[Date Joined]])/365</f>
        <v>2.1041095890410957</v>
      </c>
      <c r="J73" s="5">
        <f ca="1">ROUNDUP(IF(staff[[#This Row],[Tenure]]&gt;2,3%,2%)*staff[[#This Row],[Salary]],0)</f>
        <v>2038</v>
      </c>
      <c r="K73">
        <f>_xlfn.XLOOKUP(staff[[#This Row],[Rating]],'Salary vs. Rating'!$B$12:$B$16,'Salary vs. Rating'!$C$12:$C$16)</f>
        <v>2</v>
      </c>
    </row>
    <row r="74" spans="1:11" x14ac:dyDescent="0.25">
      <c r="A74" t="s">
        <v>45</v>
      </c>
      <c r="B74" t="s">
        <v>15</v>
      </c>
      <c r="C74">
        <v>30</v>
      </c>
      <c r="D74" t="s">
        <v>16</v>
      </c>
      <c r="E74" s="6">
        <v>44701</v>
      </c>
      <c r="F74" t="s">
        <v>9</v>
      </c>
      <c r="G74" s="5">
        <v>67950</v>
      </c>
      <c r="H74" t="s">
        <v>203</v>
      </c>
      <c r="I74" s="7">
        <f ca="1">(TODAY() -staff[[#This Row],[Date Joined]])/365</f>
        <v>1.0821917808219179</v>
      </c>
      <c r="J74" s="5">
        <f ca="1">ROUNDUP(IF(staff[[#This Row],[Tenure]]&gt;2,3%,2%)*staff[[#This Row],[Salary]],0)</f>
        <v>1359</v>
      </c>
      <c r="K74">
        <f>_xlfn.XLOOKUP(staff[[#This Row],[Rating]],'Salary vs. Rating'!$B$12:$B$16,'Salary vs. Rating'!$C$12:$C$16)</f>
        <v>3</v>
      </c>
    </row>
    <row r="75" spans="1:11" x14ac:dyDescent="0.25">
      <c r="A75" t="s">
        <v>137</v>
      </c>
      <c r="B75" t="s">
        <v>15</v>
      </c>
      <c r="C75">
        <v>30</v>
      </c>
      <c r="D75" t="s">
        <v>16</v>
      </c>
      <c r="E75" s="6">
        <v>44640</v>
      </c>
      <c r="F75" t="s">
        <v>9</v>
      </c>
      <c r="G75" s="5">
        <v>67950</v>
      </c>
      <c r="H75" t="s">
        <v>205</v>
      </c>
      <c r="I75" s="7">
        <f ca="1">(TODAY() -staff[[#This Row],[Date Joined]])/365</f>
        <v>1.2493150684931507</v>
      </c>
      <c r="J75" s="5">
        <f ca="1">ROUNDUP(IF(staff[[#This Row],[Tenure]]&gt;2,3%,2%)*staff[[#This Row],[Salary]],0)</f>
        <v>1359</v>
      </c>
      <c r="K75">
        <f>_xlfn.XLOOKUP(staff[[#This Row],[Rating]],'Salary vs. Rating'!$B$12:$B$16,'Salary vs. Rating'!$C$12:$C$16)</f>
        <v>3</v>
      </c>
    </row>
    <row r="76" spans="1:11" x14ac:dyDescent="0.25">
      <c r="A76" t="s">
        <v>91</v>
      </c>
      <c r="B76" t="s">
        <v>8</v>
      </c>
      <c r="C76">
        <v>20</v>
      </c>
      <c r="D76" t="s">
        <v>24</v>
      </c>
      <c r="E76" s="6">
        <v>44537</v>
      </c>
      <c r="F76" t="s">
        <v>19</v>
      </c>
      <c r="G76" s="5">
        <v>68900</v>
      </c>
      <c r="H76" t="s">
        <v>203</v>
      </c>
      <c r="I76" s="7">
        <f ca="1">(TODAY() -staff[[#This Row],[Date Joined]])/365</f>
        <v>1.5315068493150685</v>
      </c>
      <c r="J76" s="5">
        <f ca="1">ROUNDUP(IF(staff[[#This Row],[Tenure]]&gt;2,3%,2%)*staff[[#This Row],[Salary]],0)</f>
        <v>1378</v>
      </c>
      <c r="K76">
        <f>_xlfn.XLOOKUP(staff[[#This Row],[Rating]],'Salary vs. Rating'!$B$12:$B$16,'Salary vs. Rating'!$C$12:$C$16)</f>
        <v>2</v>
      </c>
    </row>
    <row r="77" spans="1:11" x14ac:dyDescent="0.25">
      <c r="A77" t="s">
        <v>183</v>
      </c>
      <c r="B77" t="s">
        <v>8</v>
      </c>
      <c r="C77">
        <v>20</v>
      </c>
      <c r="D77" t="s">
        <v>24</v>
      </c>
      <c r="E77" s="6">
        <v>44476</v>
      </c>
      <c r="F77" t="s">
        <v>19</v>
      </c>
      <c r="G77" s="5">
        <v>68900</v>
      </c>
      <c r="H77" t="s">
        <v>205</v>
      </c>
      <c r="I77" s="7">
        <f ca="1">(TODAY() -staff[[#This Row],[Date Joined]])/365</f>
        <v>1.6986301369863013</v>
      </c>
      <c r="J77" s="5">
        <f ca="1">ROUNDUP(IF(staff[[#This Row],[Tenure]]&gt;2,3%,2%)*staff[[#This Row],[Salary]],0)</f>
        <v>1378</v>
      </c>
      <c r="K77">
        <f>_xlfn.XLOOKUP(staff[[#This Row],[Rating]],'Salary vs. Rating'!$B$12:$B$16,'Salary vs. Rating'!$C$12:$C$16)</f>
        <v>2</v>
      </c>
    </row>
    <row r="78" spans="1:11" x14ac:dyDescent="0.25">
      <c r="A78" t="s">
        <v>97</v>
      </c>
      <c r="B78" t="s">
        <v>15</v>
      </c>
      <c r="C78">
        <v>37</v>
      </c>
      <c r="D78" t="s">
        <v>16</v>
      </c>
      <c r="E78" s="6">
        <v>44701</v>
      </c>
      <c r="F78" t="s">
        <v>12</v>
      </c>
      <c r="G78" s="5">
        <v>69070</v>
      </c>
      <c r="H78" t="s">
        <v>203</v>
      </c>
      <c r="I78" s="7">
        <f ca="1">(TODAY() -staff[[#This Row],[Date Joined]])/365</f>
        <v>1.0821917808219179</v>
      </c>
      <c r="J78" s="5">
        <f ca="1">ROUNDUP(IF(staff[[#This Row],[Tenure]]&gt;2,3%,2%)*staff[[#This Row],[Salary]],0)</f>
        <v>1382</v>
      </c>
      <c r="K78">
        <f>_xlfn.XLOOKUP(staff[[#This Row],[Rating]],'Salary vs. Rating'!$B$12:$B$16,'Salary vs. Rating'!$C$12:$C$16)</f>
        <v>3</v>
      </c>
    </row>
    <row r="79" spans="1:11" x14ac:dyDescent="0.25">
      <c r="A79" t="s">
        <v>189</v>
      </c>
      <c r="B79" t="s">
        <v>15</v>
      </c>
      <c r="C79">
        <v>37</v>
      </c>
      <c r="D79" t="s">
        <v>16</v>
      </c>
      <c r="E79" s="6">
        <v>44640</v>
      </c>
      <c r="F79" t="s">
        <v>12</v>
      </c>
      <c r="G79" s="5">
        <v>69070</v>
      </c>
      <c r="H79" t="s">
        <v>205</v>
      </c>
      <c r="I79" s="7">
        <f ca="1">(TODAY() -staff[[#This Row],[Date Joined]])/365</f>
        <v>1.2493150684931507</v>
      </c>
      <c r="J79" s="5">
        <f ca="1">ROUNDUP(IF(staff[[#This Row],[Tenure]]&gt;2,3%,2%)*staff[[#This Row],[Salary]],0)</f>
        <v>1382</v>
      </c>
      <c r="K79">
        <f>_xlfn.XLOOKUP(staff[[#This Row],[Rating]],'Salary vs. Rating'!$B$12:$B$16,'Salary vs. Rating'!$C$12:$C$16)</f>
        <v>3</v>
      </c>
    </row>
    <row r="80" spans="1:11" x14ac:dyDescent="0.25">
      <c r="A80" t="s">
        <v>25</v>
      </c>
      <c r="B80" t="s">
        <v>15</v>
      </c>
      <c r="C80">
        <v>30</v>
      </c>
      <c r="D80" t="s">
        <v>16</v>
      </c>
      <c r="E80" s="6">
        <v>44273</v>
      </c>
      <c r="F80" t="s">
        <v>12</v>
      </c>
      <c r="G80" s="5">
        <v>69120</v>
      </c>
      <c r="H80" t="s">
        <v>203</v>
      </c>
      <c r="I80" s="7">
        <f ca="1">(TODAY() -staff[[#This Row],[Date Joined]])/365</f>
        <v>2.2547945205479452</v>
      </c>
      <c r="J80" s="5">
        <f ca="1">ROUNDUP(IF(staff[[#This Row],[Tenure]]&gt;2,3%,2%)*staff[[#This Row],[Salary]],0)</f>
        <v>2074</v>
      </c>
      <c r="K80">
        <f>_xlfn.XLOOKUP(staff[[#This Row],[Rating]],'Salary vs. Rating'!$B$12:$B$16,'Salary vs. Rating'!$C$12:$C$16)</f>
        <v>3</v>
      </c>
    </row>
    <row r="81" spans="1:11" x14ac:dyDescent="0.25">
      <c r="A81" t="s">
        <v>118</v>
      </c>
      <c r="B81" t="s">
        <v>15</v>
      </c>
      <c r="C81">
        <v>30</v>
      </c>
      <c r="D81" t="s">
        <v>16</v>
      </c>
      <c r="E81" s="6">
        <v>44214</v>
      </c>
      <c r="F81" t="s">
        <v>12</v>
      </c>
      <c r="G81" s="5">
        <v>69120</v>
      </c>
      <c r="H81" t="s">
        <v>205</v>
      </c>
      <c r="I81" s="7">
        <f ca="1">(TODAY() -staff[[#This Row],[Date Joined]])/365</f>
        <v>2.4164383561643836</v>
      </c>
      <c r="J81" s="5">
        <f ca="1">ROUNDUP(IF(staff[[#This Row],[Tenure]]&gt;2,3%,2%)*staff[[#This Row],[Salary]],0)</f>
        <v>2074</v>
      </c>
      <c r="K81">
        <f>_xlfn.XLOOKUP(staff[[#This Row],[Rating]],'Salary vs. Rating'!$B$12:$B$16,'Salary vs. Rating'!$C$12:$C$16)</f>
        <v>3</v>
      </c>
    </row>
    <row r="82" spans="1:11" x14ac:dyDescent="0.25">
      <c r="A82" t="s">
        <v>67</v>
      </c>
      <c r="B82" t="s">
        <v>15</v>
      </c>
      <c r="C82">
        <v>30</v>
      </c>
      <c r="D82" t="s">
        <v>16</v>
      </c>
      <c r="E82" s="6">
        <v>44850</v>
      </c>
      <c r="F82" t="s">
        <v>12</v>
      </c>
      <c r="G82" s="5">
        <v>69710</v>
      </c>
      <c r="H82" t="s">
        <v>203</v>
      </c>
      <c r="I82" s="7">
        <f ca="1">(TODAY() -staff[[#This Row],[Date Joined]])/365</f>
        <v>0.67397260273972603</v>
      </c>
      <c r="J82" s="5">
        <f ca="1">ROUNDUP(IF(staff[[#This Row],[Tenure]]&gt;2,3%,2%)*staff[[#This Row],[Salary]],0)</f>
        <v>1395</v>
      </c>
      <c r="K82">
        <f>_xlfn.XLOOKUP(staff[[#This Row],[Rating]],'Salary vs. Rating'!$B$12:$B$16,'Salary vs. Rating'!$C$12:$C$16)</f>
        <v>3</v>
      </c>
    </row>
    <row r="83" spans="1:11" x14ac:dyDescent="0.25">
      <c r="A83" t="s">
        <v>158</v>
      </c>
      <c r="B83" t="s">
        <v>15</v>
      </c>
      <c r="C83">
        <v>30</v>
      </c>
      <c r="D83" t="s">
        <v>16</v>
      </c>
      <c r="E83" s="6">
        <v>44789</v>
      </c>
      <c r="F83" t="s">
        <v>12</v>
      </c>
      <c r="G83" s="5">
        <v>69710</v>
      </c>
      <c r="H83" t="s">
        <v>205</v>
      </c>
      <c r="I83" s="7">
        <f ca="1">(TODAY() -staff[[#This Row],[Date Joined]])/365</f>
        <v>0.84109589041095889</v>
      </c>
      <c r="J83" s="5">
        <f ca="1">ROUNDUP(IF(staff[[#This Row],[Tenure]]&gt;2,3%,2%)*staff[[#This Row],[Salary]],0)</f>
        <v>1395</v>
      </c>
      <c r="K83">
        <f>_xlfn.XLOOKUP(staff[[#This Row],[Rating]],'Salary vs. Rating'!$B$12:$B$16,'Salary vs. Rating'!$C$12:$C$16)</f>
        <v>3</v>
      </c>
    </row>
    <row r="84" spans="1:11" x14ac:dyDescent="0.25">
      <c r="A84" t="s">
        <v>90</v>
      </c>
      <c r="B84" t="s">
        <v>15</v>
      </c>
      <c r="C84">
        <v>42</v>
      </c>
      <c r="D84" t="s">
        <v>24</v>
      </c>
      <c r="E84" s="6">
        <v>44731</v>
      </c>
      <c r="F84" t="s">
        <v>21</v>
      </c>
      <c r="G84" s="5">
        <v>70270</v>
      </c>
      <c r="H84" t="s">
        <v>203</v>
      </c>
      <c r="I84" s="7">
        <f ca="1">(TODAY() -staff[[#This Row],[Date Joined]])/365</f>
        <v>1</v>
      </c>
      <c r="J84" s="5">
        <f ca="1">ROUNDUP(IF(staff[[#This Row],[Tenure]]&gt;2,3%,2%)*staff[[#This Row],[Salary]],0)</f>
        <v>1406</v>
      </c>
      <c r="K84">
        <f>_xlfn.XLOOKUP(staff[[#This Row],[Rating]],'Salary vs. Rating'!$B$12:$B$16,'Salary vs. Rating'!$C$12:$C$16)</f>
        <v>2</v>
      </c>
    </row>
    <row r="85" spans="1:11" x14ac:dyDescent="0.25">
      <c r="A85" t="s">
        <v>182</v>
      </c>
      <c r="B85" t="s">
        <v>15</v>
      </c>
      <c r="C85">
        <v>42</v>
      </c>
      <c r="D85" t="s">
        <v>24</v>
      </c>
      <c r="E85" s="6">
        <v>44670</v>
      </c>
      <c r="F85" t="s">
        <v>21</v>
      </c>
      <c r="G85" s="5">
        <v>70270</v>
      </c>
      <c r="H85" t="s">
        <v>205</v>
      </c>
      <c r="I85" s="7">
        <f ca="1">(TODAY() -staff[[#This Row],[Date Joined]])/365</f>
        <v>1.167123287671233</v>
      </c>
      <c r="J85" s="5">
        <f ca="1">ROUNDUP(IF(staff[[#This Row],[Tenure]]&gt;2,3%,2%)*staff[[#This Row],[Salary]],0)</f>
        <v>1406</v>
      </c>
      <c r="K85">
        <f>_xlfn.XLOOKUP(staff[[#This Row],[Rating]],'Salary vs. Rating'!$B$12:$B$16,'Salary vs. Rating'!$C$12:$C$16)</f>
        <v>2</v>
      </c>
    </row>
    <row r="86" spans="1:11" x14ac:dyDescent="0.25">
      <c r="A86" t="s">
        <v>70</v>
      </c>
      <c r="B86" t="s">
        <v>15</v>
      </c>
      <c r="C86">
        <v>46</v>
      </c>
      <c r="D86" t="s">
        <v>16</v>
      </c>
      <c r="E86" s="6">
        <v>44758</v>
      </c>
      <c r="F86" t="s">
        <v>9</v>
      </c>
      <c r="G86" s="5">
        <v>70610</v>
      </c>
      <c r="H86" t="s">
        <v>203</v>
      </c>
      <c r="I86" s="7">
        <f ca="1">(TODAY() -staff[[#This Row],[Date Joined]])/365</f>
        <v>0.92602739726027394</v>
      </c>
      <c r="J86" s="5">
        <f ca="1">ROUNDUP(IF(staff[[#This Row],[Tenure]]&gt;2,3%,2%)*staff[[#This Row],[Salary]],0)</f>
        <v>1413</v>
      </c>
      <c r="K86">
        <f>_xlfn.XLOOKUP(staff[[#This Row],[Rating]],'Salary vs. Rating'!$B$12:$B$16,'Salary vs. Rating'!$C$12:$C$16)</f>
        <v>3</v>
      </c>
    </row>
    <row r="87" spans="1:11" x14ac:dyDescent="0.25">
      <c r="A87" t="s">
        <v>161</v>
      </c>
      <c r="B87" t="s">
        <v>15</v>
      </c>
      <c r="C87">
        <v>46</v>
      </c>
      <c r="D87" t="s">
        <v>16</v>
      </c>
      <c r="E87" s="6">
        <v>44697</v>
      </c>
      <c r="F87" t="s">
        <v>9</v>
      </c>
      <c r="G87" s="5">
        <v>70610</v>
      </c>
      <c r="H87" t="s">
        <v>205</v>
      </c>
      <c r="I87" s="7">
        <f ca="1">(TODAY() -staff[[#This Row],[Date Joined]])/365</f>
        <v>1.0931506849315069</v>
      </c>
      <c r="J87" s="5">
        <f ca="1">ROUNDUP(IF(staff[[#This Row],[Tenure]]&gt;2,3%,2%)*staff[[#This Row],[Salary]],0)</f>
        <v>1413</v>
      </c>
      <c r="K87">
        <f>_xlfn.XLOOKUP(staff[[#This Row],[Rating]],'Salary vs. Rating'!$B$12:$B$16,'Salary vs. Rating'!$C$12:$C$16)</f>
        <v>3</v>
      </c>
    </row>
    <row r="88" spans="1:11" x14ac:dyDescent="0.25">
      <c r="A88" t="s">
        <v>94</v>
      </c>
      <c r="B88" t="s">
        <v>15</v>
      </c>
      <c r="C88">
        <v>36</v>
      </c>
      <c r="D88" t="s">
        <v>16</v>
      </c>
      <c r="E88" s="6">
        <v>44333</v>
      </c>
      <c r="F88" t="s">
        <v>21</v>
      </c>
      <c r="G88" s="5">
        <v>71380</v>
      </c>
      <c r="H88" t="s">
        <v>203</v>
      </c>
      <c r="I88" s="7">
        <f ca="1">(TODAY() -staff[[#This Row],[Date Joined]])/365</f>
        <v>2.0904109589041098</v>
      </c>
      <c r="J88" s="5">
        <f ca="1">ROUNDUP(IF(staff[[#This Row],[Tenure]]&gt;2,3%,2%)*staff[[#This Row],[Salary]],0)</f>
        <v>2142</v>
      </c>
      <c r="K88">
        <f>_xlfn.XLOOKUP(staff[[#This Row],[Rating]],'Salary vs. Rating'!$B$12:$B$16,'Salary vs. Rating'!$C$12:$C$16)</f>
        <v>3</v>
      </c>
    </row>
    <row r="89" spans="1:11" x14ac:dyDescent="0.25">
      <c r="A89" t="s">
        <v>186</v>
      </c>
      <c r="B89" t="s">
        <v>15</v>
      </c>
      <c r="C89">
        <v>36</v>
      </c>
      <c r="D89" t="s">
        <v>16</v>
      </c>
      <c r="E89" s="6">
        <v>44272</v>
      </c>
      <c r="F89" t="s">
        <v>21</v>
      </c>
      <c r="G89" s="5">
        <v>71380</v>
      </c>
      <c r="H89" t="s">
        <v>205</v>
      </c>
      <c r="I89" s="7">
        <f ca="1">(TODAY() -staff[[#This Row],[Date Joined]])/365</f>
        <v>2.2575342465753425</v>
      </c>
      <c r="J89" s="5">
        <f ca="1">ROUNDUP(IF(staff[[#This Row],[Tenure]]&gt;2,3%,2%)*staff[[#This Row],[Salary]],0)</f>
        <v>2142</v>
      </c>
      <c r="K89">
        <f>_xlfn.XLOOKUP(staff[[#This Row],[Rating]],'Salary vs. Rating'!$B$12:$B$16,'Salary vs. Rating'!$C$12:$C$16)</f>
        <v>3</v>
      </c>
    </row>
    <row r="90" spans="1:11" x14ac:dyDescent="0.25">
      <c r="A90" t="s">
        <v>18</v>
      </c>
      <c r="B90" t="s">
        <v>15</v>
      </c>
      <c r="C90">
        <v>33</v>
      </c>
      <c r="D90" t="s">
        <v>16</v>
      </c>
      <c r="E90" s="6">
        <v>44385</v>
      </c>
      <c r="F90" t="s">
        <v>19</v>
      </c>
      <c r="G90" s="5">
        <v>74550</v>
      </c>
      <c r="H90" t="s">
        <v>203</v>
      </c>
      <c r="I90" s="7">
        <f ca="1">(TODAY() -staff[[#This Row],[Date Joined]])/365</f>
        <v>1.9479452054794522</v>
      </c>
      <c r="J90" s="5">
        <f ca="1">ROUNDUP(IF(staff[[#This Row],[Tenure]]&gt;2,3%,2%)*staff[[#This Row],[Salary]],0)</f>
        <v>1491</v>
      </c>
      <c r="K90">
        <f>_xlfn.XLOOKUP(staff[[#This Row],[Rating]],'Salary vs. Rating'!$B$12:$B$16,'Salary vs. Rating'!$C$12:$C$16)</f>
        <v>3</v>
      </c>
    </row>
    <row r="91" spans="1:11" x14ac:dyDescent="0.25">
      <c r="A91" t="s">
        <v>114</v>
      </c>
      <c r="B91" t="s">
        <v>15</v>
      </c>
      <c r="C91">
        <v>33</v>
      </c>
      <c r="D91" t="s">
        <v>16</v>
      </c>
      <c r="E91" s="6">
        <v>44324</v>
      </c>
      <c r="F91" t="s">
        <v>19</v>
      </c>
      <c r="G91" s="5">
        <v>74550</v>
      </c>
      <c r="H91" t="s">
        <v>205</v>
      </c>
      <c r="I91" s="7">
        <f ca="1">(TODAY() -staff[[#This Row],[Date Joined]])/365</f>
        <v>2.1150684931506851</v>
      </c>
      <c r="J91" s="5">
        <f ca="1">ROUNDUP(IF(staff[[#This Row],[Tenure]]&gt;2,3%,2%)*staff[[#This Row],[Salary]],0)</f>
        <v>2237</v>
      </c>
      <c r="K91">
        <f>_xlfn.XLOOKUP(staff[[#This Row],[Rating]],'Salary vs. Rating'!$B$12:$B$16,'Salary vs. Rating'!$C$12:$C$16)</f>
        <v>3</v>
      </c>
    </row>
    <row r="92" spans="1:11" x14ac:dyDescent="0.25">
      <c r="A92" t="s">
        <v>7</v>
      </c>
      <c r="B92" t="s">
        <v>8</v>
      </c>
      <c r="C92">
        <v>42</v>
      </c>
      <c r="D92" t="s">
        <v>10</v>
      </c>
      <c r="E92" s="6">
        <v>44779</v>
      </c>
      <c r="F92" t="s">
        <v>9</v>
      </c>
      <c r="G92" s="5">
        <v>75000</v>
      </c>
      <c r="H92" t="s">
        <v>203</v>
      </c>
      <c r="I92" s="7">
        <f ca="1">(TODAY() -staff[[#This Row],[Date Joined]])/365</f>
        <v>0.86849315068493149</v>
      </c>
      <c r="J92" s="5">
        <f ca="1">ROUNDUP(IF(staff[[#This Row],[Tenure]]&gt;2,3%,2%)*staff[[#This Row],[Salary]],0)</f>
        <v>1500</v>
      </c>
      <c r="K92">
        <f>_xlfn.XLOOKUP(staff[[#This Row],[Rating]],'Salary vs. Rating'!$B$12:$B$16,'Salary vs. Rating'!$C$12:$C$16)</f>
        <v>5</v>
      </c>
    </row>
    <row r="93" spans="1:11" x14ac:dyDescent="0.25">
      <c r="A93" t="s">
        <v>110</v>
      </c>
      <c r="B93" t="s">
        <v>8</v>
      </c>
      <c r="C93">
        <v>42</v>
      </c>
      <c r="D93" t="s">
        <v>10</v>
      </c>
      <c r="E93" s="6">
        <v>44718</v>
      </c>
      <c r="F93" t="s">
        <v>9</v>
      </c>
      <c r="G93" s="5">
        <v>75000</v>
      </c>
      <c r="H93" t="s">
        <v>205</v>
      </c>
      <c r="I93" s="7">
        <f ca="1">(TODAY() -staff[[#This Row],[Date Joined]])/365</f>
        <v>1.0356164383561643</v>
      </c>
      <c r="J93" s="5">
        <f ca="1">ROUNDUP(IF(staff[[#This Row],[Tenure]]&gt;2,3%,2%)*staff[[#This Row],[Salary]],0)</f>
        <v>1500</v>
      </c>
      <c r="K93">
        <f>_xlfn.XLOOKUP(staff[[#This Row],[Rating]],'Salary vs. Rating'!$B$12:$B$16,'Salary vs. Rating'!$C$12:$C$16)</f>
        <v>5</v>
      </c>
    </row>
    <row r="94" spans="1:11" x14ac:dyDescent="0.25">
      <c r="A94" t="s">
        <v>95</v>
      </c>
      <c r="B94" t="s">
        <v>8</v>
      </c>
      <c r="C94">
        <v>33</v>
      </c>
      <c r="D94" t="s">
        <v>16</v>
      </c>
      <c r="E94" s="6">
        <v>44312</v>
      </c>
      <c r="F94" t="s">
        <v>12</v>
      </c>
      <c r="G94" s="5">
        <v>75280</v>
      </c>
      <c r="H94" t="s">
        <v>203</v>
      </c>
      <c r="I94" s="7">
        <f ca="1">(TODAY() -staff[[#This Row],[Date Joined]])/365</f>
        <v>2.1479452054794521</v>
      </c>
      <c r="J94" s="5">
        <f ca="1">ROUNDUP(IF(staff[[#This Row],[Tenure]]&gt;2,3%,2%)*staff[[#This Row],[Salary]],0)</f>
        <v>2259</v>
      </c>
      <c r="K94">
        <f>_xlfn.XLOOKUP(staff[[#This Row],[Rating]],'Salary vs. Rating'!$B$12:$B$16,'Salary vs. Rating'!$C$12:$C$16)</f>
        <v>3</v>
      </c>
    </row>
    <row r="95" spans="1:11" x14ac:dyDescent="0.25">
      <c r="A95" t="s">
        <v>187</v>
      </c>
      <c r="B95" t="s">
        <v>8</v>
      </c>
      <c r="C95">
        <v>33</v>
      </c>
      <c r="D95" t="s">
        <v>16</v>
      </c>
      <c r="E95" s="6">
        <v>44253</v>
      </c>
      <c r="F95" t="s">
        <v>12</v>
      </c>
      <c r="G95" s="5">
        <v>75280</v>
      </c>
      <c r="H95" t="s">
        <v>205</v>
      </c>
      <c r="I95" s="7">
        <f ca="1">(TODAY() -staff[[#This Row],[Date Joined]])/365</f>
        <v>2.3095890410958906</v>
      </c>
      <c r="J95" s="5">
        <f ca="1">ROUNDUP(IF(staff[[#This Row],[Tenure]]&gt;2,3%,2%)*staff[[#This Row],[Salary]],0)</f>
        <v>2259</v>
      </c>
      <c r="K95">
        <f>_xlfn.XLOOKUP(staff[[#This Row],[Rating]],'Salary vs. Rating'!$B$12:$B$16,'Salary vs. Rating'!$C$12:$C$16)</f>
        <v>3</v>
      </c>
    </row>
    <row r="96" spans="1:11" x14ac:dyDescent="0.25">
      <c r="A96" t="s">
        <v>41</v>
      </c>
      <c r="B96" t="s">
        <v>8</v>
      </c>
      <c r="C96">
        <v>33</v>
      </c>
      <c r="D96" t="s">
        <v>42</v>
      </c>
      <c r="E96" s="6">
        <v>44374</v>
      </c>
      <c r="F96" t="s">
        <v>12</v>
      </c>
      <c r="G96" s="5">
        <v>75480</v>
      </c>
      <c r="H96" t="s">
        <v>203</v>
      </c>
      <c r="I96" s="7">
        <f ca="1">(TODAY() -staff[[#This Row],[Date Joined]])/365</f>
        <v>1.978082191780822</v>
      </c>
      <c r="J96" s="5">
        <f ca="1">ROUNDUP(IF(staff[[#This Row],[Tenure]]&gt;2,3%,2%)*staff[[#This Row],[Salary]],0)</f>
        <v>1510</v>
      </c>
      <c r="K96">
        <f>_xlfn.XLOOKUP(staff[[#This Row],[Rating]],'Salary vs. Rating'!$B$12:$B$16,'Salary vs. Rating'!$C$12:$C$16)</f>
        <v>1</v>
      </c>
    </row>
    <row r="97" spans="1:11" x14ac:dyDescent="0.25">
      <c r="A97" t="s">
        <v>134</v>
      </c>
      <c r="B97" t="s">
        <v>8</v>
      </c>
      <c r="C97">
        <v>33</v>
      </c>
      <c r="D97" t="s">
        <v>42</v>
      </c>
      <c r="E97" s="6">
        <v>44313</v>
      </c>
      <c r="F97" t="s">
        <v>12</v>
      </c>
      <c r="G97" s="5">
        <v>75480</v>
      </c>
      <c r="H97" t="s">
        <v>205</v>
      </c>
      <c r="I97" s="7">
        <f ca="1">(TODAY() -staff[[#This Row],[Date Joined]])/365</f>
        <v>2.1452054794520548</v>
      </c>
      <c r="J97" s="5">
        <f ca="1">ROUNDUP(IF(staff[[#This Row],[Tenure]]&gt;2,3%,2%)*staff[[#This Row],[Salary]],0)</f>
        <v>2265</v>
      </c>
      <c r="K97">
        <f>_xlfn.XLOOKUP(staff[[#This Row],[Rating]],'Salary vs. Rating'!$B$12:$B$16,'Salary vs. Rating'!$C$12:$C$16)</f>
        <v>1</v>
      </c>
    </row>
    <row r="98" spans="1:11" x14ac:dyDescent="0.25">
      <c r="A98" t="s">
        <v>78</v>
      </c>
      <c r="B98" t="s">
        <v>15</v>
      </c>
      <c r="C98">
        <v>21</v>
      </c>
      <c r="D98" t="s">
        <v>16</v>
      </c>
      <c r="E98" s="6">
        <v>44242</v>
      </c>
      <c r="F98" t="s">
        <v>56</v>
      </c>
      <c r="G98" s="5">
        <v>75880</v>
      </c>
      <c r="H98" t="s">
        <v>203</v>
      </c>
      <c r="I98" s="7">
        <f ca="1">(TODAY() -staff[[#This Row],[Date Joined]])/365</f>
        <v>2.3397260273972602</v>
      </c>
      <c r="J98" s="5">
        <f ca="1">ROUNDUP(IF(staff[[#This Row],[Tenure]]&gt;2,3%,2%)*staff[[#This Row],[Salary]],0)</f>
        <v>2277</v>
      </c>
      <c r="K98">
        <f>_xlfn.XLOOKUP(staff[[#This Row],[Rating]],'Salary vs. Rating'!$B$12:$B$16,'Salary vs. Rating'!$C$12:$C$16)</f>
        <v>3</v>
      </c>
    </row>
    <row r="99" spans="1:11" x14ac:dyDescent="0.25">
      <c r="A99" t="s">
        <v>169</v>
      </c>
      <c r="B99" t="s">
        <v>15</v>
      </c>
      <c r="C99">
        <v>21</v>
      </c>
      <c r="D99" t="s">
        <v>16</v>
      </c>
      <c r="E99" s="6">
        <v>44180</v>
      </c>
      <c r="F99" t="s">
        <v>56</v>
      </c>
      <c r="G99" s="5">
        <v>75880</v>
      </c>
      <c r="H99" t="s">
        <v>205</v>
      </c>
      <c r="I99" s="7">
        <f ca="1">(TODAY() -staff[[#This Row],[Date Joined]])/365</f>
        <v>2.5095890410958903</v>
      </c>
      <c r="J99" s="5">
        <f ca="1">ROUNDUP(IF(staff[[#This Row],[Tenure]]&gt;2,3%,2%)*staff[[#This Row],[Salary]],0)</f>
        <v>2277</v>
      </c>
      <c r="K99">
        <f>_xlfn.XLOOKUP(staff[[#This Row],[Rating]],'Salary vs. Rating'!$B$12:$B$16,'Salary vs. Rating'!$C$12:$C$16)</f>
        <v>3</v>
      </c>
    </row>
    <row r="100" spans="1:11" x14ac:dyDescent="0.25">
      <c r="A100" t="s">
        <v>35</v>
      </c>
      <c r="B100" t="s">
        <v>8</v>
      </c>
      <c r="C100">
        <v>28</v>
      </c>
      <c r="D100" t="s">
        <v>16</v>
      </c>
      <c r="E100" s="6">
        <v>44185</v>
      </c>
      <c r="F100" t="s">
        <v>21</v>
      </c>
      <c r="G100" s="5">
        <v>75970</v>
      </c>
      <c r="H100" t="s">
        <v>203</v>
      </c>
      <c r="I100" s="7">
        <f ca="1">(TODAY() -staff[[#This Row],[Date Joined]])/365</f>
        <v>2.495890410958904</v>
      </c>
      <c r="J100" s="5">
        <f ca="1">ROUNDUP(IF(staff[[#This Row],[Tenure]]&gt;2,3%,2%)*staff[[#This Row],[Salary]],0)</f>
        <v>2280</v>
      </c>
      <c r="K100">
        <f>_xlfn.XLOOKUP(staff[[#This Row],[Rating]],'Salary vs. Rating'!$B$12:$B$16,'Salary vs. Rating'!$C$12:$C$16)</f>
        <v>3</v>
      </c>
    </row>
    <row r="101" spans="1:11" x14ac:dyDescent="0.25">
      <c r="A101" t="s">
        <v>128</v>
      </c>
      <c r="B101" t="s">
        <v>8</v>
      </c>
      <c r="C101">
        <v>28</v>
      </c>
      <c r="D101" t="s">
        <v>16</v>
      </c>
      <c r="E101" s="6">
        <v>44124</v>
      </c>
      <c r="F101" t="s">
        <v>21</v>
      </c>
      <c r="G101" s="5">
        <v>75970</v>
      </c>
      <c r="H101" t="s">
        <v>205</v>
      </c>
      <c r="I101" s="7">
        <f ca="1">(TODAY() -staff[[#This Row],[Date Joined]])/365</f>
        <v>2.6630136986301371</v>
      </c>
      <c r="J101" s="5">
        <f ca="1">ROUNDUP(IF(staff[[#This Row],[Tenure]]&gt;2,3%,2%)*staff[[#This Row],[Salary]],0)</f>
        <v>2280</v>
      </c>
      <c r="K101">
        <f>_xlfn.XLOOKUP(staff[[#This Row],[Rating]],'Salary vs. Rating'!$B$12:$B$16,'Salary vs. Rating'!$C$12:$C$16)</f>
        <v>3</v>
      </c>
    </row>
    <row r="102" spans="1:11" x14ac:dyDescent="0.25">
      <c r="A102" t="s">
        <v>62</v>
      </c>
      <c r="B102" t="s">
        <v>8</v>
      </c>
      <c r="C102">
        <v>22</v>
      </c>
      <c r="D102" t="s">
        <v>13</v>
      </c>
      <c r="E102" s="6">
        <v>44450</v>
      </c>
      <c r="F102" t="s">
        <v>9</v>
      </c>
      <c r="G102" s="5">
        <v>76900</v>
      </c>
      <c r="H102" t="s">
        <v>203</v>
      </c>
      <c r="I102" s="7">
        <f ca="1">(TODAY() -staff[[#This Row],[Date Joined]])/365</f>
        <v>1.7698630136986302</v>
      </c>
      <c r="J102" s="5">
        <f ca="1">ROUNDUP(IF(staff[[#This Row],[Tenure]]&gt;2,3%,2%)*staff[[#This Row],[Salary]],0)</f>
        <v>1538</v>
      </c>
      <c r="K102">
        <f>_xlfn.XLOOKUP(staff[[#This Row],[Rating]],'Salary vs. Rating'!$B$12:$B$16,'Salary vs. Rating'!$C$12:$C$16)</f>
        <v>4</v>
      </c>
    </row>
    <row r="103" spans="1:11" x14ac:dyDescent="0.25">
      <c r="A103" t="s">
        <v>153</v>
      </c>
      <c r="B103" t="s">
        <v>8</v>
      </c>
      <c r="C103">
        <v>22</v>
      </c>
      <c r="D103" t="s">
        <v>13</v>
      </c>
      <c r="E103" s="6">
        <v>44388</v>
      </c>
      <c r="F103" t="s">
        <v>9</v>
      </c>
      <c r="G103" s="5">
        <v>76900</v>
      </c>
      <c r="H103" t="s">
        <v>205</v>
      </c>
      <c r="I103" s="7">
        <f ca="1">(TODAY() -staff[[#This Row],[Date Joined]])/365</f>
        <v>1.9397260273972603</v>
      </c>
      <c r="J103" s="5">
        <f ca="1">ROUNDUP(IF(staff[[#This Row],[Tenure]]&gt;2,3%,2%)*staff[[#This Row],[Salary]],0)</f>
        <v>1538</v>
      </c>
      <c r="K103">
        <f>_xlfn.XLOOKUP(staff[[#This Row],[Rating]],'Salary vs. Rating'!$B$12:$B$16,'Salary vs. Rating'!$C$12:$C$16)</f>
        <v>4</v>
      </c>
    </row>
    <row r="104" spans="1:11" x14ac:dyDescent="0.25">
      <c r="A104" t="s">
        <v>72</v>
      </c>
      <c r="B104" t="s">
        <v>8</v>
      </c>
      <c r="C104">
        <v>36</v>
      </c>
      <c r="D104" t="s">
        <v>16</v>
      </c>
      <c r="E104" s="6">
        <v>44529</v>
      </c>
      <c r="F104" t="s">
        <v>9</v>
      </c>
      <c r="G104" s="5">
        <v>78390</v>
      </c>
      <c r="H104" t="s">
        <v>203</v>
      </c>
      <c r="I104" s="7">
        <f ca="1">(TODAY() -staff[[#This Row],[Date Joined]])/365</f>
        <v>1.5534246575342465</v>
      </c>
      <c r="J104" s="5">
        <f ca="1">ROUNDUP(IF(staff[[#This Row],[Tenure]]&gt;2,3%,2%)*staff[[#This Row],[Salary]],0)</f>
        <v>1568</v>
      </c>
      <c r="K104">
        <f>_xlfn.XLOOKUP(staff[[#This Row],[Rating]],'Salary vs. Rating'!$B$12:$B$16,'Salary vs. Rating'!$C$12:$C$16)</f>
        <v>3</v>
      </c>
    </row>
    <row r="105" spans="1:11" x14ac:dyDescent="0.25">
      <c r="A105" t="s">
        <v>163</v>
      </c>
      <c r="B105" t="s">
        <v>8</v>
      </c>
      <c r="C105">
        <v>36</v>
      </c>
      <c r="D105" t="s">
        <v>16</v>
      </c>
      <c r="E105" s="6">
        <v>44468</v>
      </c>
      <c r="F105" t="s">
        <v>9</v>
      </c>
      <c r="G105" s="5">
        <v>78390</v>
      </c>
      <c r="H105" t="s">
        <v>205</v>
      </c>
      <c r="I105" s="7">
        <f ca="1">(TODAY() -staff[[#This Row],[Date Joined]])/365</f>
        <v>1.7205479452054795</v>
      </c>
      <c r="J105" s="5">
        <f ca="1">ROUNDUP(IF(staff[[#This Row],[Tenure]]&gt;2,3%,2%)*staff[[#This Row],[Salary]],0)</f>
        <v>1568</v>
      </c>
      <c r="K105">
        <f>_xlfn.XLOOKUP(staff[[#This Row],[Rating]],'Salary vs. Rating'!$B$12:$B$16,'Salary vs. Rating'!$C$12:$C$16)</f>
        <v>3</v>
      </c>
    </row>
    <row r="106" spans="1:11" x14ac:dyDescent="0.25">
      <c r="A106" t="s">
        <v>48</v>
      </c>
      <c r="B106" t="s">
        <v>8</v>
      </c>
      <c r="C106">
        <v>36</v>
      </c>
      <c r="D106" t="s">
        <v>16</v>
      </c>
      <c r="E106" s="6">
        <v>44494</v>
      </c>
      <c r="F106" t="s">
        <v>19</v>
      </c>
      <c r="G106" s="5">
        <v>78540</v>
      </c>
      <c r="H106" t="s">
        <v>203</v>
      </c>
      <c r="I106" s="7">
        <f ca="1">(TODAY() -staff[[#This Row],[Date Joined]])/365</f>
        <v>1.6493150684931508</v>
      </c>
      <c r="J106" s="5">
        <f ca="1">ROUNDUP(IF(staff[[#This Row],[Tenure]]&gt;2,3%,2%)*staff[[#This Row],[Salary]],0)</f>
        <v>1571</v>
      </c>
      <c r="K106">
        <f>_xlfn.XLOOKUP(staff[[#This Row],[Rating]],'Salary vs. Rating'!$B$12:$B$16,'Salary vs. Rating'!$C$12:$C$16)</f>
        <v>3</v>
      </c>
    </row>
    <row r="107" spans="1:11" x14ac:dyDescent="0.25">
      <c r="A107" t="s">
        <v>140</v>
      </c>
      <c r="B107" t="s">
        <v>8</v>
      </c>
      <c r="C107">
        <v>36</v>
      </c>
      <c r="D107" t="s">
        <v>16</v>
      </c>
      <c r="E107" s="6">
        <v>44433</v>
      </c>
      <c r="F107" t="s">
        <v>19</v>
      </c>
      <c r="G107" s="5">
        <v>78540</v>
      </c>
      <c r="H107" t="s">
        <v>205</v>
      </c>
      <c r="I107" s="7">
        <f ca="1">(TODAY() -staff[[#This Row],[Date Joined]])/365</f>
        <v>1.8164383561643835</v>
      </c>
      <c r="J107" s="5">
        <f ca="1">ROUNDUP(IF(staff[[#This Row],[Tenure]]&gt;2,3%,2%)*staff[[#This Row],[Salary]],0)</f>
        <v>1571</v>
      </c>
      <c r="K107">
        <f>_xlfn.XLOOKUP(staff[[#This Row],[Rating]],'Salary vs. Rating'!$B$12:$B$16,'Salary vs. Rating'!$C$12:$C$16)</f>
        <v>3</v>
      </c>
    </row>
    <row r="108" spans="1:11" x14ac:dyDescent="0.25">
      <c r="A108" t="s">
        <v>104</v>
      </c>
      <c r="B108" t="s">
        <v>15</v>
      </c>
      <c r="C108">
        <v>20</v>
      </c>
      <c r="D108" t="s">
        <v>16</v>
      </c>
      <c r="E108" s="6">
        <v>44744</v>
      </c>
      <c r="F108" t="s">
        <v>9</v>
      </c>
      <c r="G108" s="5">
        <v>79570</v>
      </c>
      <c r="H108" t="s">
        <v>203</v>
      </c>
      <c r="I108" s="7">
        <f ca="1">(TODAY() -staff[[#This Row],[Date Joined]])/365</f>
        <v>0.96438356164383565</v>
      </c>
      <c r="J108" s="5">
        <f ca="1">ROUNDUP(IF(staff[[#This Row],[Tenure]]&gt;2,3%,2%)*staff[[#This Row],[Salary]],0)</f>
        <v>1592</v>
      </c>
      <c r="K108">
        <f>_xlfn.XLOOKUP(staff[[#This Row],[Rating]],'Salary vs. Rating'!$B$12:$B$16,'Salary vs. Rating'!$C$12:$C$16)</f>
        <v>3</v>
      </c>
    </row>
    <row r="109" spans="1:11" x14ac:dyDescent="0.25">
      <c r="A109" t="s">
        <v>196</v>
      </c>
      <c r="B109" t="s">
        <v>15</v>
      </c>
      <c r="C109">
        <v>20</v>
      </c>
      <c r="D109" t="s">
        <v>16</v>
      </c>
      <c r="E109" s="6">
        <v>44683</v>
      </c>
      <c r="F109" t="s">
        <v>9</v>
      </c>
      <c r="G109" s="5">
        <v>79570</v>
      </c>
      <c r="H109" t="s">
        <v>205</v>
      </c>
      <c r="I109" s="7">
        <f ca="1">(TODAY() -staff[[#This Row],[Date Joined]])/365</f>
        <v>1.1315068493150684</v>
      </c>
      <c r="J109" s="5">
        <f ca="1">ROUNDUP(IF(staff[[#This Row],[Tenure]]&gt;2,3%,2%)*staff[[#This Row],[Salary]],0)</f>
        <v>1592</v>
      </c>
      <c r="K109">
        <f>_xlfn.XLOOKUP(staff[[#This Row],[Rating]],'Salary vs. Rating'!$B$12:$B$16,'Salary vs. Rating'!$C$12:$C$16)</f>
        <v>3</v>
      </c>
    </row>
    <row r="110" spans="1:11" x14ac:dyDescent="0.25">
      <c r="A110" t="s">
        <v>39</v>
      </c>
      <c r="B110" t="s">
        <v>8</v>
      </c>
      <c r="C110">
        <v>25</v>
      </c>
      <c r="D110" t="s">
        <v>13</v>
      </c>
      <c r="E110" s="6">
        <v>44694</v>
      </c>
      <c r="F110" t="s">
        <v>12</v>
      </c>
      <c r="G110" s="5">
        <v>80700</v>
      </c>
      <c r="H110" t="s">
        <v>203</v>
      </c>
      <c r="I110" s="7">
        <f ca="1">(TODAY() -staff[[#This Row],[Date Joined]])/365</f>
        <v>1.1013698630136985</v>
      </c>
      <c r="J110" s="5">
        <f ca="1">ROUNDUP(IF(staff[[#This Row],[Tenure]]&gt;2,3%,2%)*staff[[#This Row],[Salary]],0)</f>
        <v>1614</v>
      </c>
      <c r="K110">
        <f>_xlfn.XLOOKUP(staff[[#This Row],[Rating]],'Salary vs. Rating'!$B$12:$B$16,'Salary vs. Rating'!$C$12:$C$16)</f>
        <v>4</v>
      </c>
    </row>
    <row r="111" spans="1:11" x14ac:dyDescent="0.25">
      <c r="A111" t="s">
        <v>132</v>
      </c>
      <c r="B111" t="s">
        <v>8</v>
      </c>
      <c r="C111">
        <v>25</v>
      </c>
      <c r="D111" t="s">
        <v>13</v>
      </c>
      <c r="E111" s="6">
        <v>44633</v>
      </c>
      <c r="F111" t="s">
        <v>12</v>
      </c>
      <c r="G111" s="5">
        <v>80700</v>
      </c>
      <c r="H111" t="s">
        <v>205</v>
      </c>
      <c r="I111" s="7">
        <f ca="1">(TODAY() -staff[[#This Row],[Date Joined]])/365</f>
        <v>1.2684931506849315</v>
      </c>
      <c r="J111" s="5">
        <f ca="1">ROUNDUP(IF(staff[[#This Row],[Tenure]]&gt;2,3%,2%)*staff[[#This Row],[Salary]],0)</f>
        <v>1614</v>
      </c>
      <c r="K111">
        <f>_xlfn.XLOOKUP(staff[[#This Row],[Rating]],'Salary vs. Rating'!$B$12:$B$16,'Salary vs. Rating'!$C$12:$C$16)</f>
        <v>4</v>
      </c>
    </row>
    <row r="112" spans="1:11" x14ac:dyDescent="0.25">
      <c r="A112" t="s">
        <v>92</v>
      </c>
      <c r="B112" t="s">
        <v>8</v>
      </c>
      <c r="C112">
        <v>27</v>
      </c>
      <c r="D112" t="s">
        <v>16</v>
      </c>
      <c r="E112" s="6">
        <v>44686</v>
      </c>
      <c r="F112" t="s">
        <v>12</v>
      </c>
      <c r="G112" s="5">
        <v>83750</v>
      </c>
      <c r="H112" t="s">
        <v>203</v>
      </c>
      <c r="I112" s="7">
        <f ca="1">(TODAY() -staff[[#This Row],[Date Joined]])/365</f>
        <v>1.1232876712328768</v>
      </c>
      <c r="J112" s="5">
        <f ca="1">ROUNDUP(IF(staff[[#This Row],[Tenure]]&gt;2,3%,2%)*staff[[#This Row],[Salary]],0)</f>
        <v>1675</v>
      </c>
      <c r="K112">
        <f>_xlfn.XLOOKUP(staff[[#This Row],[Rating]],'Salary vs. Rating'!$B$12:$B$16,'Salary vs. Rating'!$C$12:$C$16)</f>
        <v>3</v>
      </c>
    </row>
    <row r="113" spans="1:11" x14ac:dyDescent="0.25">
      <c r="A113" t="s">
        <v>184</v>
      </c>
      <c r="B113" t="s">
        <v>8</v>
      </c>
      <c r="C113">
        <v>27</v>
      </c>
      <c r="D113" t="s">
        <v>16</v>
      </c>
      <c r="E113" s="6">
        <v>44625</v>
      </c>
      <c r="F113" t="s">
        <v>12</v>
      </c>
      <c r="G113" s="5">
        <v>83750</v>
      </c>
      <c r="H113" t="s">
        <v>205</v>
      </c>
      <c r="I113" s="7">
        <f ca="1">(TODAY() -staff[[#This Row],[Date Joined]])/365</f>
        <v>1.2904109589041095</v>
      </c>
      <c r="J113" s="5">
        <f ca="1">ROUNDUP(IF(staff[[#This Row],[Tenure]]&gt;2,3%,2%)*staff[[#This Row],[Salary]],0)</f>
        <v>1675</v>
      </c>
      <c r="K113">
        <f>_xlfn.XLOOKUP(staff[[#This Row],[Rating]],'Salary vs. Rating'!$B$12:$B$16,'Salary vs. Rating'!$C$12:$C$16)</f>
        <v>3</v>
      </c>
    </row>
    <row r="114" spans="1:11" x14ac:dyDescent="0.25">
      <c r="A114" t="s">
        <v>28</v>
      </c>
      <c r="B114" t="s">
        <v>8</v>
      </c>
      <c r="C114">
        <v>34</v>
      </c>
      <c r="D114" t="s">
        <v>16</v>
      </c>
      <c r="E114" s="6">
        <v>44459</v>
      </c>
      <c r="F114" t="s">
        <v>21</v>
      </c>
      <c r="G114" s="5">
        <v>85000</v>
      </c>
      <c r="H114" t="s">
        <v>203</v>
      </c>
      <c r="I114" s="7">
        <f ca="1">(TODAY() -staff[[#This Row],[Date Joined]])/365</f>
        <v>1.7452054794520548</v>
      </c>
      <c r="J114" s="5">
        <f ca="1">ROUNDUP(IF(staff[[#This Row],[Tenure]]&gt;2,3%,2%)*staff[[#This Row],[Salary]],0)</f>
        <v>1700</v>
      </c>
      <c r="K114">
        <f>_xlfn.XLOOKUP(staff[[#This Row],[Rating]],'Salary vs. Rating'!$B$12:$B$16,'Salary vs. Rating'!$C$12:$C$16)</f>
        <v>3</v>
      </c>
    </row>
    <row r="115" spans="1:11" x14ac:dyDescent="0.25">
      <c r="A115" t="s">
        <v>121</v>
      </c>
      <c r="B115" t="s">
        <v>8</v>
      </c>
      <c r="C115">
        <v>34</v>
      </c>
      <c r="D115" t="s">
        <v>16</v>
      </c>
      <c r="E115" s="6">
        <v>44397</v>
      </c>
      <c r="F115" t="s">
        <v>21</v>
      </c>
      <c r="G115" s="5">
        <v>85000</v>
      </c>
      <c r="H115" t="s">
        <v>205</v>
      </c>
      <c r="I115" s="7">
        <f ca="1">(TODAY() -staff[[#This Row],[Date Joined]])/365</f>
        <v>1.9150684931506849</v>
      </c>
      <c r="J115" s="5">
        <f ca="1">ROUNDUP(IF(staff[[#This Row],[Tenure]]&gt;2,3%,2%)*staff[[#This Row],[Salary]],0)</f>
        <v>1700</v>
      </c>
      <c r="K115">
        <f>_xlfn.XLOOKUP(staff[[#This Row],[Rating]],'Salary vs. Rating'!$B$12:$B$16,'Salary vs. Rating'!$C$12:$C$16)</f>
        <v>3</v>
      </c>
    </row>
    <row r="116" spans="1:11" x14ac:dyDescent="0.25">
      <c r="A116" t="s">
        <v>88</v>
      </c>
      <c r="B116" t="s">
        <v>8</v>
      </c>
      <c r="C116">
        <v>33</v>
      </c>
      <c r="D116" t="s">
        <v>16</v>
      </c>
      <c r="E116" s="6">
        <v>44809</v>
      </c>
      <c r="F116" t="s">
        <v>21</v>
      </c>
      <c r="G116" s="5">
        <v>86570</v>
      </c>
      <c r="H116" t="s">
        <v>203</v>
      </c>
      <c r="I116" s="7">
        <f ca="1">(TODAY() -staff[[#This Row],[Date Joined]])/365</f>
        <v>0.78630136986301369</v>
      </c>
      <c r="J116" s="5">
        <f ca="1">ROUNDUP(IF(staff[[#This Row],[Tenure]]&gt;2,3%,2%)*staff[[#This Row],[Salary]],0)</f>
        <v>1732</v>
      </c>
      <c r="K116">
        <f>_xlfn.XLOOKUP(staff[[#This Row],[Rating]],'Salary vs. Rating'!$B$12:$B$16,'Salary vs. Rating'!$C$12:$C$16)</f>
        <v>3</v>
      </c>
    </row>
    <row r="117" spans="1:11" x14ac:dyDescent="0.25">
      <c r="A117" t="s">
        <v>180</v>
      </c>
      <c r="B117" t="s">
        <v>8</v>
      </c>
      <c r="C117">
        <v>33</v>
      </c>
      <c r="D117" t="s">
        <v>16</v>
      </c>
      <c r="E117" s="6">
        <v>44747</v>
      </c>
      <c r="F117" t="s">
        <v>21</v>
      </c>
      <c r="G117" s="5">
        <v>86570</v>
      </c>
      <c r="H117" t="s">
        <v>205</v>
      </c>
      <c r="I117" s="7">
        <f ca="1">(TODAY() -staff[[#This Row],[Date Joined]])/365</f>
        <v>0.95616438356164379</v>
      </c>
      <c r="J117" s="5">
        <f ca="1">ROUNDUP(IF(staff[[#This Row],[Tenure]]&gt;2,3%,2%)*staff[[#This Row],[Salary]],0)</f>
        <v>1732</v>
      </c>
      <c r="K117">
        <f>_xlfn.XLOOKUP(staff[[#This Row],[Rating]],'Salary vs. Rating'!$B$12:$B$16,'Salary vs. Rating'!$C$12:$C$16)</f>
        <v>3</v>
      </c>
    </row>
    <row r="118" spans="1:11" x14ac:dyDescent="0.25">
      <c r="A118" t="s">
        <v>74</v>
      </c>
      <c r="B118" t="s">
        <v>8</v>
      </c>
      <c r="C118">
        <v>40</v>
      </c>
      <c r="D118" t="s">
        <v>16</v>
      </c>
      <c r="E118" s="6">
        <v>44337</v>
      </c>
      <c r="F118" t="s">
        <v>12</v>
      </c>
      <c r="G118" s="5">
        <v>87620</v>
      </c>
      <c r="H118" t="s">
        <v>203</v>
      </c>
      <c r="I118" s="7">
        <f ca="1">(TODAY() -staff[[#This Row],[Date Joined]])/365</f>
        <v>2.0794520547945203</v>
      </c>
      <c r="J118" s="5">
        <f ca="1">ROUNDUP(IF(staff[[#This Row],[Tenure]]&gt;2,3%,2%)*staff[[#This Row],[Salary]],0)</f>
        <v>2629</v>
      </c>
      <c r="K118">
        <f>_xlfn.XLOOKUP(staff[[#This Row],[Rating]],'Salary vs. Rating'!$B$12:$B$16,'Salary vs. Rating'!$C$12:$C$16)</f>
        <v>3</v>
      </c>
    </row>
    <row r="119" spans="1:11" x14ac:dyDescent="0.25">
      <c r="A119" t="s">
        <v>165</v>
      </c>
      <c r="B119" t="s">
        <v>8</v>
      </c>
      <c r="C119">
        <v>40</v>
      </c>
      <c r="D119" t="s">
        <v>16</v>
      </c>
      <c r="E119" s="6">
        <v>44276</v>
      </c>
      <c r="F119" t="s">
        <v>12</v>
      </c>
      <c r="G119" s="5">
        <v>87620</v>
      </c>
      <c r="H119" t="s">
        <v>205</v>
      </c>
      <c r="I119" s="7">
        <f ca="1">(TODAY() -staff[[#This Row],[Date Joined]])/365</f>
        <v>2.2465753424657535</v>
      </c>
      <c r="J119" s="5">
        <f ca="1">ROUNDUP(IF(staff[[#This Row],[Tenure]]&gt;2,3%,2%)*staff[[#This Row],[Salary]],0)</f>
        <v>2629</v>
      </c>
      <c r="K119">
        <f>_xlfn.XLOOKUP(staff[[#This Row],[Rating]],'Salary vs. Rating'!$B$12:$B$16,'Salary vs. Rating'!$C$12:$C$16)</f>
        <v>3</v>
      </c>
    </row>
    <row r="120" spans="1:11" x14ac:dyDescent="0.25">
      <c r="A120" t="s">
        <v>23</v>
      </c>
      <c r="B120" t="s">
        <v>15</v>
      </c>
      <c r="C120">
        <v>37</v>
      </c>
      <c r="D120" t="s">
        <v>24</v>
      </c>
      <c r="E120" s="6">
        <v>44338</v>
      </c>
      <c r="F120" t="s">
        <v>12</v>
      </c>
      <c r="G120" s="5">
        <v>88050</v>
      </c>
      <c r="H120" t="s">
        <v>203</v>
      </c>
      <c r="I120" s="7">
        <f ca="1">(TODAY() -staff[[#This Row],[Date Joined]])/365</f>
        <v>2.0767123287671234</v>
      </c>
      <c r="J120" s="5">
        <f ca="1">ROUNDUP(IF(staff[[#This Row],[Tenure]]&gt;2,3%,2%)*staff[[#This Row],[Salary]],0)</f>
        <v>2642</v>
      </c>
      <c r="K120">
        <f>_xlfn.XLOOKUP(staff[[#This Row],[Rating]],'Salary vs. Rating'!$B$12:$B$16,'Salary vs. Rating'!$C$12:$C$16)</f>
        <v>2</v>
      </c>
    </row>
    <row r="121" spans="1:11" x14ac:dyDescent="0.25">
      <c r="A121" t="s">
        <v>117</v>
      </c>
      <c r="B121" t="s">
        <v>15</v>
      </c>
      <c r="C121">
        <v>37</v>
      </c>
      <c r="D121" t="s">
        <v>24</v>
      </c>
      <c r="E121" s="6">
        <v>44277</v>
      </c>
      <c r="F121" t="s">
        <v>12</v>
      </c>
      <c r="G121" s="5">
        <v>88050</v>
      </c>
      <c r="H121" t="s">
        <v>205</v>
      </c>
      <c r="I121" s="7">
        <f ca="1">(TODAY() -staff[[#This Row],[Date Joined]])/365</f>
        <v>2.2438356164383562</v>
      </c>
      <c r="J121" s="5">
        <f ca="1">ROUNDUP(IF(staff[[#This Row],[Tenure]]&gt;2,3%,2%)*staff[[#This Row],[Salary]],0)</f>
        <v>2642</v>
      </c>
      <c r="K121">
        <f>_xlfn.XLOOKUP(staff[[#This Row],[Rating]],'Salary vs. Rating'!$B$12:$B$16,'Salary vs. Rating'!$C$12:$C$16)</f>
        <v>2</v>
      </c>
    </row>
    <row r="122" spans="1:11" x14ac:dyDescent="0.25">
      <c r="A122" t="s">
        <v>11</v>
      </c>
      <c r="B122" t="s">
        <v>204</v>
      </c>
      <c r="C122">
        <v>26</v>
      </c>
      <c r="D122" t="s">
        <v>13</v>
      </c>
      <c r="E122" s="6">
        <v>44271</v>
      </c>
      <c r="F122" t="s">
        <v>12</v>
      </c>
      <c r="G122" s="5">
        <v>90700</v>
      </c>
      <c r="H122" t="s">
        <v>203</v>
      </c>
      <c r="I122" s="7">
        <f ca="1">(TODAY() -staff[[#This Row],[Date Joined]])/365</f>
        <v>2.2602739726027399</v>
      </c>
      <c r="J122" s="5">
        <f ca="1">ROUNDUP(IF(staff[[#This Row],[Tenure]]&gt;2,3%,2%)*staff[[#This Row],[Salary]],0)</f>
        <v>2721</v>
      </c>
      <c r="K122">
        <f>_xlfn.XLOOKUP(staff[[#This Row],[Rating]],'Salary vs. Rating'!$B$12:$B$16,'Salary vs. Rating'!$C$12:$C$16)</f>
        <v>4</v>
      </c>
    </row>
    <row r="123" spans="1:11" x14ac:dyDescent="0.25">
      <c r="A123" t="s">
        <v>111</v>
      </c>
      <c r="B123" t="s">
        <v>204</v>
      </c>
      <c r="C123">
        <v>27</v>
      </c>
      <c r="D123" t="s">
        <v>13</v>
      </c>
      <c r="E123" s="6">
        <v>44212</v>
      </c>
      <c r="F123" t="s">
        <v>12</v>
      </c>
      <c r="G123" s="5">
        <v>90700</v>
      </c>
      <c r="H123" t="s">
        <v>205</v>
      </c>
      <c r="I123" s="7">
        <f ca="1">(TODAY() -staff[[#This Row],[Date Joined]])/365</f>
        <v>2.4219178082191779</v>
      </c>
      <c r="J123" s="5">
        <f ca="1">ROUNDUP(IF(staff[[#This Row],[Tenure]]&gt;2,3%,2%)*staff[[#This Row],[Salary]],0)</f>
        <v>2721</v>
      </c>
      <c r="K123">
        <f>_xlfn.XLOOKUP(staff[[#This Row],[Rating]],'Salary vs. Rating'!$B$12:$B$16,'Salary vs. Rating'!$C$12:$C$16)</f>
        <v>4</v>
      </c>
    </row>
    <row r="124" spans="1:11" x14ac:dyDescent="0.25">
      <c r="A124" t="s">
        <v>52</v>
      </c>
      <c r="B124" t="s">
        <v>204</v>
      </c>
      <c r="C124">
        <v>32</v>
      </c>
      <c r="D124" t="s">
        <v>16</v>
      </c>
      <c r="E124" s="6">
        <v>44774</v>
      </c>
      <c r="F124" t="s">
        <v>12</v>
      </c>
      <c r="G124" s="5">
        <v>91310</v>
      </c>
      <c r="H124" t="s">
        <v>203</v>
      </c>
      <c r="I124" s="7">
        <f ca="1">(TODAY() -staff[[#This Row],[Date Joined]])/365</f>
        <v>0.88219178082191785</v>
      </c>
      <c r="J124" s="5">
        <f ca="1">ROUNDUP(IF(staff[[#This Row],[Tenure]]&gt;2,3%,2%)*staff[[#This Row],[Salary]],0)</f>
        <v>1827</v>
      </c>
      <c r="K124">
        <f>_xlfn.XLOOKUP(staff[[#This Row],[Rating]],'Salary vs. Rating'!$B$12:$B$16,'Salary vs. Rating'!$C$12:$C$16)</f>
        <v>3</v>
      </c>
    </row>
    <row r="125" spans="1:11" x14ac:dyDescent="0.25">
      <c r="A125" t="s">
        <v>144</v>
      </c>
      <c r="B125" t="s">
        <v>204</v>
      </c>
      <c r="C125">
        <v>32</v>
      </c>
      <c r="D125" t="s">
        <v>16</v>
      </c>
      <c r="E125" s="6">
        <v>44713</v>
      </c>
      <c r="F125" t="s">
        <v>12</v>
      </c>
      <c r="G125" s="5">
        <v>91310</v>
      </c>
      <c r="H125" t="s">
        <v>205</v>
      </c>
      <c r="I125" s="7">
        <f ca="1">(TODAY() -staff[[#This Row],[Date Joined]])/365</f>
        <v>1.0493150684931507</v>
      </c>
      <c r="J125" s="5">
        <f ca="1">ROUNDUP(IF(staff[[#This Row],[Tenure]]&gt;2,3%,2%)*staff[[#This Row],[Salary]],0)</f>
        <v>1827</v>
      </c>
      <c r="K125">
        <f>_xlfn.XLOOKUP(staff[[#This Row],[Rating]],'Salary vs. Rating'!$B$12:$B$16,'Salary vs. Rating'!$C$12:$C$16)</f>
        <v>3</v>
      </c>
    </row>
    <row r="126" spans="1:11" x14ac:dyDescent="0.25">
      <c r="A126" t="s">
        <v>68</v>
      </c>
      <c r="B126" t="s">
        <v>15</v>
      </c>
      <c r="C126">
        <v>27</v>
      </c>
      <c r="D126" t="s">
        <v>13</v>
      </c>
      <c r="E126" s="6">
        <v>44236</v>
      </c>
      <c r="F126" t="s">
        <v>21</v>
      </c>
      <c r="G126" s="5">
        <v>91650</v>
      </c>
      <c r="H126" t="s">
        <v>203</v>
      </c>
      <c r="I126" s="7">
        <f ca="1">(TODAY() -staff[[#This Row],[Date Joined]])/365</f>
        <v>2.3561643835616439</v>
      </c>
      <c r="J126" s="5">
        <f ca="1">ROUNDUP(IF(staff[[#This Row],[Tenure]]&gt;2,3%,2%)*staff[[#This Row],[Salary]],0)</f>
        <v>2750</v>
      </c>
      <c r="K126">
        <f>_xlfn.XLOOKUP(staff[[#This Row],[Rating]],'Salary vs. Rating'!$B$12:$B$16,'Salary vs. Rating'!$C$12:$C$16)</f>
        <v>4</v>
      </c>
    </row>
    <row r="127" spans="1:11" x14ac:dyDescent="0.25">
      <c r="A127" t="s">
        <v>159</v>
      </c>
      <c r="B127" t="s">
        <v>15</v>
      </c>
      <c r="C127">
        <v>27</v>
      </c>
      <c r="D127" t="s">
        <v>13</v>
      </c>
      <c r="E127" s="6">
        <v>44174</v>
      </c>
      <c r="F127" t="s">
        <v>21</v>
      </c>
      <c r="G127" s="5">
        <v>91650</v>
      </c>
      <c r="H127" t="s">
        <v>205</v>
      </c>
      <c r="I127" s="7">
        <f ca="1">(TODAY() -staff[[#This Row],[Date Joined]])/365</f>
        <v>2.526027397260274</v>
      </c>
      <c r="J127" s="5">
        <f ca="1">ROUNDUP(IF(staff[[#This Row],[Tenure]]&gt;2,3%,2%)*staff[[#This Row],[Salary]],0)</f>
        <v>2750</v>
      </c>
      <c r="K127">
        <f>_xlfn.XLOOKUP(staff[[#This Row],[Rating]],'Salary vs. Rating'!$B$12:$B$16,'Salary vs. Rating'!$C$12:$C$16)</f>
        <v>4</v>
      </c>
    </row>
    <row r="128" spans="1:11" x14ac:dyDescent="0.25">
      <c r="A128" t="s">
        <v>102</v>
      </c>
      <c r="B128" t="s">
        <v>8</v>
      </c>
      <c r="C128">
        <v>34</v>
      </c>
      <c r="D128" t="s">
        <v>16</v>
      </c>
      <c r="E128" s="6">
        <v>44445</v>
      </c>
      <c r="F128" t="s">
        <v>21</v>
      </c>
      <c r="G128" s="5">
        <v>92450</v>
      </c>
      <c r="H128" t="s">
        <v>203</v>
      </c>
      <c r="I128" s="7">
        <f ca="1">(TODAY() -staff[[#This Row],[Date Joined]])/365</f>
        <v>1.7835616438356163</v>
      </c>
      <c r="J128" s="5">
        <f ca="1">ROUNDUP(IF(staff[[#This Row],[Tenure]]&gt;2,3%,2%)*staff[[#This Row],[Salary]],0)</f>
        <v>1849</v>
      </c>
      <c r="K128">
        <f>_xlfn.XLOOKUP(staff[[#This Row],[Rating]],'Salary vs. Rating'!$B$12:$B$16,'Salary vs. Rating'!$C$12:$C$16)</f>
        <v>3</v>
      </c>
    </row>
    <row r="129" spans="1:11" x14ac:dyDescent="0.25">
      <c r="A129" t="s">
        <v>194</v>
      </c>
      <c r="B129" t="s">
        <v>8</v>
      </c>
      <c r="C129">
        <v>34</v>
      </c>
      <c r="D129" t="s">
        <v>16</v>
      </c>
      <c r="E129" s="6">
        <v>44383</v>
      </c>
      <c r="F129" t="s">
        <v>21</v>
      </c>
      <c r="G129" s="5">
        <v>92450</v>
      </c>
      <c r="H129" t="s">
        <v>205</v>
      </c>
      <c r="I129" s="7">
        <f ca="1">(TODAY() -staff[[#This Row],[Date Joined]])/365</f>
        <v>1.9534246575342467</v>
      </c>
      <c r="J129" s="5">
        <f ca="1">ROUNDUP(IF(staff[[#This Row],[Tenure]]&gt;2,3%,2%)*staff[[#This Row],[Salary]],0)</f>
        <v>1849</v>
      </c>
      <c r="K129">
        <f>_xlfn.XLOOKUP(staff[[#This Row],[Rating]],'Salary vs. Rating'!$B$12:$B$16,'Salary vs. Rating'!$C$12:$C$16)</f>
        <v>3</v>
      </c>
    </row>
    <row r="130" spans="1:11" x14ac:dyDescent="0.25">
      <c r="A130" t="s">
        <v>77</v>
      </c>
      <c r="B130" t="s">
        <v>8</v>
      </c>
      <c r="C130">
        <v>25</v>
      </c>
      <c r="D130" t="s">
        <v>16</v>
      </c>
      <c r="E130" s="6">
        <v>44205</v>
      </c>
      <c r="F130" t="s">
        <v>19</v>
      </c>
      <c r="G130" s="5">
        <v>92700</v>
      </c>
      <c r="H130" t="s">
        <v>203</v>
      </c>
      <c r="I130" s="7">
        <f ca="1">(TODAY() -staff[[#This Row],[Date Joined]])/365</f>
        <v>2.441095890410959</v>
      </c>
      <c r="J130" s="5">
        <f ca="1">ROUNDUP(IF(staff[[#This Row],[Tenure]]&gt;2,3%,2%)*staff[[#This Row],[Salary]],0)</f>
        <v>2781</v>
      </c>
      <c r="K130">
        <f>_xlfn.XLOOKUP(staff[[#This Row],[Rating]],'Salary vs. Rating'!$B$12:$B$16,'Salary vs. Rating'!$C$12:$C$16)</f>
        <v>3</v>
      </c>
    </row>
    <row r="131" spans="1:11" x14ac:dyDescent="0.25">
      <c r="A131" t="s">
        <v>168</v>
      </c>
      <c r="B131" t="s">
        <v>8</v>
      </c>
      <c r="C131">
        <v>25</v>
      </c>
      <c r="D131" t="s">
        <v>16</v>
      </c>
      <c r="E131" s="6">
        <v>44144</v>
      </c>
      <c r="F131" t="s">
        <v>19</v>
      </c>
      <c r="G131" s="5">
        <v>92700</v>
      </c>
      <c r="H131" t="s">
        <v>205</v>
      </c>
      <c r="I131" s="7">
        <f ca="1">(TODAY() -staff[[#This Row],[Date Joined]])/365</f>
        <v>2.6082191780821917</v>
      </c>
      <c r="J131" s="5">
        <f ca="1">ROUNDUP(IF(staff[[#This Row],[Tenure]]&gt;2,3%,2%)*staff[[#This Row],[Salary]],0)</f>
        <v>2781</v>
      </c>
      <c r="K131">
        <f>_xlfn.XLOOKUP(staff[[#This Row],[Rating]],'Salary vs. Rating'!$B$12:$B$16,'Salary vs. Rating'!$C$12:$C$16)</f>
        <v>3</v>
      </c>
    </row>
    <row r="132" spans="1:11" x14ac:dyDescent="0.25">
      <c r="A132" t="s">
        <v>71</v>
      </c>
      <c r="B132" t="s">
        <v>8</v>
      </c>
      <c r="C132">
        <v>33</v>
      </c>
      <c r="D132" t="s">
        <v>16</v>
      </c>
      <c r="E132" s="6">
        <v>44190</v>
      </c>
      <c r="F132" t="s">
        <v>12</v>
      </c>
      <c r="G132" s="5">
        <v>96140</v>
      </c>
      <c r="H132" t="s">
        <v>203</v>
      </c>
      <c r="I132" s="7">
        <f ca="1">(TODAY() -staff[[#This Row],[Date Joined]])/365</f>
        <v>2.4821917808219176</v>
      </c>
      <c r="J132" s="5">
        <f ca="1">ROUNDUP(IF(staff[[#This Row],[Tenure]]&gt;2,3%,2%)*staff[[#This Row],[Salary]],0)</f>
        <v>2885</v>
      </c>
      <c r="K132">
        <f>_xlfn.XLOOKUP(staff[[#This Row],[Rating]],'Salary vs. Rating'!$B$12:$B$16,'Salary vs. Rating'!$C$12:$C$16)</f>
        <v>3</v>
      </c>
    </row>
    <row r="133" spans="1:11" x14ac:dyDescent="0.25">
      <c r="A133" t="s">
        <v>162</v>
      </c>
      <c r="B133" t="s">
        <v>8</v>
      </c>
      <c r="C133">
        <v>33</v>
      </c>
      <c r="D133" t="s">
        <v>16</v>
      </c>
      <c r="E133" s="6">
        <v>44129</v>
      </c>
      <c r="F133" t="s">
        <v>12</v>
      </c>
      <c r="G133" s="5">
        <v>96140</v>
      </c>
      <c r="H133" t="s">
        <v>205</v>
      </c>
      <c r="I133" s="7">
        <f ca="1">(TODAY() -staff[[#This Row],[Date Joined]])/365</f>
        <v>2.6493150684931508</v>
      </c>
      <c r="J133" s="5">
        <f ca="1">ROUNDUP(IF(staff[[#This Row],[Tenure]]&gt;2,3%,2%)*staff[[#This Row],[Salary]],0)</f>
        <v>2885</v>
      </c>
      <c r="K133">
        <f>_xlfn.XLOOKUP(staff[[#This Row],[Rating]],'Salary vs. Rating'!$B$12:$B$16,'Salary vs. Rating'!$C$12:$C$16)</f>
        <v>3</v>
      </c>
    </row>
    <row r="134" spans="1:11" x14ac:dyDescent="0.25">
      <c r="A134" t="s">
        <v>85</v>
      </c>
      <c r="B134" t="s">
        <v>15</v>
      </c>
      <c r="C134">
        <v>30</v>
      </c>
      <c r="D134" t="s">
        <v>16</v>
      </c>
      <c r="E134" s="6">
        <v>44606</v>
      </c>
      <c r="F134" t="s">
        <v>21</v>
      </c>
      <c r="G134" s="5">
        <v>96800</v>
      </c>
      <c r="H134" t="s">
        <v>203</v>
      </c>
      <c r="I134" s="7">
        <f ca="1">(TODAY() -staff[[#This Row],[Date Joined]])/365</f>
        <v>1.3424657534246576</v>
      </c>
      <c r="J134" s="5">
        <f ca="1">ROUNDUP(IF(staff[[#This Row],[Tenure]]&gt;2,3%,2%)*staff[[#This Row],[Salary]],0)</f>
        <v>1936</v>
      </c>
      <c r="K134">
        <f>_xlfn.XLOOKUP(staff[[#This Row],[Rating]],'Salary vs. Rating'!$B$12:$B$16,'Salary vs. Rating'!$C$12:$C$16)</f>
        <v>3</v>
      </c>
    </row>
    <row r="135" spans="1:11" x14ac:dyDescent="0.25">
      <c r="A135" t="s">
        <v>176</v>
      </c>
      <c r="B135" t="s">
        <v>15</v>
      </c>
      <c r="C135">
        <v>30</v>
      </c>
      <c r="D135" t="s">
        <v>16</v>
      </c>
      <c r="E135" s="6">
        <v>44544</v>
      </c>
      <c r="F135" t="s">
        <v>21</v>
      </c>
      <c r="G135" s="5">
        <v>96800</v>
      </c>
      <c r="H135" t="s">
        <v>205</v>
      </c>
      <c r="I135" s="7">
        <f ca="1">(TODAY() -staff[[#This Row],[Date Joined]])/365</f>
        <v>1.5123287671232877</v>
      </c>
      <c r="J135" s="5">
        <f ca="1">ROUNDUP(IF(staff[[#This Row],[Tenure]]&gt;2,3%,2%)*staff[[#This Row],[Salary]],0)</f>
        <v>1936</v>
      </c>
      <c r="K135">
        <f>_xlfn.XLOOKUP(staff[[#This Row],[Rating]],'Salary vs. Rating'!$B$12:$B$16,'Salary vs. Rating'!$C$12:$C$16)</f>
        <v>3</v>
      </c>
    </row>
    <row r="136" spans="1:11" x14ac:dyDescent="0.25">
      <c r="A136" t="s">
        <v>105</v>
      </c>
      <c r="B136" t="s">
        <v>15</v>
      </c>
      <c r="C136">
        <v>40</v>
      </c>
      <c r="D136" t="s">
        <v>16</v>
      </c>
      <c r="E136" s="6">
        <v>44263</v>
      </c>
      <c r="F136" t="s">
        <v>9</v>
      </c>
      <c r="G136" s="5">
        <v>99750</v>
      </c>
      <c r="H136" t="s">
        <v>203</v>
      </c>
      <c r="I136" s="7">
        <f ca="1">(TODAY() -staff[[#This Row],[Date Joined]])/365</f>
        <v>2.2821917808219179</v>
      </c>
      <c r="J136" s="5">
        <f ca="1">ROUNDUP(IF(staff[[#This Row],[Tenure]]&gt;2,3%,2%)*staff[[#This Row],[Salary]],0)</f>
        <v>2993</v>
      </c>
      <c r="K136">
        <f>_xlfn.XLOOKUP(staff[[#This Row],[Rating]],'Salary vs. Rating'!$B$12:$B$16,'Salary vs. Rating'!$C$12:$C$16)</f>
        <v>3</v>
      </c>
    </row>
    <row r="137" spans="1:11" x14ac:dyDescent="0.25">
      <c r="A137" t="s">
        <v>197</v>
      </c>
      <c r="B137" t="s">
        <v>15</v>
      </c>
      <c r="C137">
        <v>40</v>
      </c>
      <c r="D137" t="s">
        <v>16</v>
      </c>
      <c r="E137" s="6">
        <v>44204</v>
      </c>
      <c r="F137" t="s">
        <v>9</v>
      </c>
      <c r="G137" s="5">
        <v>99750</v>
      </c>
      <c r="H137" t="s">
        <v>205</v>
      </c>
      <c r="I137" s="7">
        <f ca="1">(TODAY() -staff[[#This Row],[Date Joined]])/365</f>
        <v>2.4438356164383563</v>
      </c>
      <c r="J137" s="5">
        <f ca="1">ROUNDUP(IF(staff[[#This Row],[Tenure]]&gt;2,3%,2%)*staff[[#This Row],[Salary]],0)</f>
        <v>2993</v>
      </c>
      <c r="K137">
        <f>_xlfn.XLOOKUP(staff[[#This Row],[Rating]],'Salary vs. Rating'!$B$12:$B$16,'Salary vs. Rating'!$C$12:$C$16)</f>
        <v>3</v>
      </c>
    </row>
    <row r="138" spans="1:11" x14ac:dyDescent="0.25">
      <c r="A138" t="s">
        <v>107</v>
      </c>
      <c r="B138" t="s">
        <v>8</v>
      </c>
      <c r="C138">
        <v>28</v>
      </c>
      <c r="D138" t="s">
        <v>16</v>
      </c>
      <c r="E138" s="6">
        <v>44630</v>
      </c>
      <c r="F138" t="s">
        <v>9</v>
      </c>
      <c r="G138" s="5">
        <v>99970</v>
      </c>
      <c r="H138" t="s">
        <v>203</v>
      </c>
      <c r="I138" s="7">
        <f ca="1">(TODAY() -staff[[#This Row],[Date Joined]])/365</f>
        <v>1.2767123287671234</v>
      </c>
      <c r="J138" s="5">
        <f ca="1">ROUNDUP(IF(staff[[#This Row],[Tenure]]&gt;2,3%,2%)*staff[[#This Row],[Salary]],0)</f>
        <v>2000</v>
      </c>
      <c r="K138">
        <f>_xlfn.XLOOKUP(staff[[#This Row],[Rating]],'Salary vs. Rating'!$B$12:$B$16,'Salary vs. Rating'!$C$12:$C$16)</f>
        <v>3</v>
      </c>
    </row>
    <row r="139" spans="1:11" x14ac:dyDescent="0.25">
      <c r="A139" t="s">
        <v>199</v>
      </c>
      <c r="B139" t="s">
        <v>8</v>
      </c>
      <c r="C139">
        <v>28</v>
      </c>
      <c r="D139" t="s">
        <v>16</v>
      </c>
      <c r="E139" s="6">
        <v>44571</v>
      </c>
      <c r="F139" t="s">
        <v>9</v>
      </c>
      <c r="G139" s="5">
        <v>99970</v>
      </c>
      <c r="H139" t="s">
        <v>205</v>
      </c>
      <c r="I139" s="7">
        <f ca="1">(TODAY() -staff[[#This Row],[Date Joined]])/365</f>
        <v>1.4383561643835616</v>
      </c>
      <c r="J139" s="5">
        <f ca="1">ROUNDUP(IF(staff[[#This Row],[Tenure]]&gt;2,3%,2%)*staff[[#This Row],[Salary]],0)</f>
        <v>2000</v>
      </c>
      <c r="K139">
        <f>_xlfn.XLOOKUP(staff[[#This Row],[Rating]],'Salary vs. Rating'!$B$12:$B$16,'Salary vs. Rating'!$C$12:$C$16)</f>
        <v>3</v>
      </c>
    </row>
    <row r="140" spans="1:11" x14ac:dyDescent="0.25">
      <c r="A140" t="s">
        <v>103</v>
      </c>
      <c r="B140" t="s">
        <v>15</v>
      </c>
      <c r="C140">
        <v>24</v>
      </c>
      <c r="D140" t="s">
        <v>16</v>
      </c>
      <c r="E140" s="6">
        <v>44686</v>
      </c>
      <c r="F140" t="s">
        <v>12</v>
      </c>
      <c r="G140" s="5">
        <v>100420</v>
      </c>
      <c r="H140" t="s">
        <v>203</v>
      </c>
      <c r="I140" s="7">
        <f ca="1">(TODAY() -staff[[#This Row],[Date Joined]])/365</f>
        <v>1.1232876712328768</v>
      </c>
      <c r="J140" s="5">
        <f ca="1">ROUNDUP(IF(staff[[#This Row],[Tenure]]&gt;2,3%,2%)*staff[[#This Row],[Salary]],0)</f>
        <v>2009</v>
      </c>
      <c r="K140">
        <f>_xlfn.XLOOKUP(staff[[#This Row],[Rating]],'Salary vs. Rating'!$B$12:$B$16,'Salary vs. Rating'!$C$12:$C$16)</f>
        <v>3</v>
      </c>
    </row>
    <row r="141" spans="1:11" x14ac:dyDescent="0.25">
      <c r="A141" t="s">
        <v>195</v>
      </c>
      <c r="B141" t="s">
        <v>15</v>
      </c>
      <c r="C141">
        <v>24</v>
      </c>
      <c r="D141" t="s">
        <v>16</v>
      </c>
      <c r="E141" s="6">
        <v>44625</v>
      </c>
      <c r="F141" t="s">
        <v>12</v>
      </c>
      <c r="G141" s="5">
        <v>100420</v>
      </c>
      <c r="H141" t="s">
        <v>205</v>
      </c>
      <c r="I141" s="7">
        <f ca="1">(TODAY() -staff[[#This Row],[Date Joined]])/365</f>
        <v>1.2904109589041095</v>
      </c>
      <c r="J141" s="5">
        <f ca="1">ROUNDUP(IF(staff[[#This Row],[Tenure]]&gt;2,3%,2%)*staff[[#This Row],[Salary]],0)</f>
        <v>2009</v>
      </c>
      <c r="K141">
        <f>_xlfn.XLOOKUP(staff[[#This Row],[Rating]],'Salary vs. Rating'!$B$12:$B$16,'Salary vs. Rating'!$C$12:$C$16)</f>
        <v>3</v>
      </c>
    </row>
    <row r="142" spans="1:11" x14ac:dyDescent="0.25">
      <c r="A142" t="s">
        <v>50</v>
      </c>
      <c r="B142" t="s">
        <v>15</v>
      </c>
      <c r="C142">
        <v>31</v>
      </c>
      <c r="D142" t="s">
        <v>16</v>
      </c>
      <c r="E142" s="6">
        <v>44724</v>
      </c>
      <c r="F142" t="s">
        <v>9</v>
      </c>
      <c r="G142" s="5">
        <v>103550</v>
      </c>
      <c r="H142" t="s">
        <v>203</v>
      </c>
      <c r="I142" s="7">
        <f ca="1">(TODAY() -staff[[#This Row],[Date Joined]])/365</f>
        <v>1.0191780821917809</v>
      </c>
      <c r="J142" s="5">
        <f ca="1">ROUNDUP(IF(staff[[#This Row],[Tenure]]&gt;2,3%,2%)*staff[[#This Row],[Salary]],0)</f>
        <v>2071</v>
      </c>
      <c r="K142">
        <f>_xlfn.XLOOKUP(staff[[#This Row],[Rating]],'Salary vs. Rating'!$B$12:$B$16,'Salary vs. Rating'!$C$12:$C$16)</f>
        <v>3</v>
      </c>
    </row>
    <row r="143" spans="1:11" x14ac:dyDescent="0.25">
      <c r="A143" t="s">
        <v>142</v>
      </c>
      <c r="B143" t="s">
        <v>15</v>
      </c>
      <c r="C143">
        <v>31</v>
      </c>
      <c r="D143" t="s">
        <v>16</v>
      </c>
      <c r="E143" s="6">
        <v>44663</v>
      </c>
      <c r="F143" t="s">
        <v>9</v>
      </c>
      <c r="G143" s="5">
        <v>103550</v>
      </c>
      <c r="H143" t="s">
        <v>205</v>
      </c>
      <c r="I143" s="7">
        <f ca="1">(TODAY() -staff[[#This Row],[Date Joined]])/365</f>
        <v>1.1863013698630136</v>
      </c>
      <c r="J143" s="5">
        <f ca="1">ROUNDUP(IF(staff[[#This Row],[Tenure]]&gt;2,3%,2%)*staff[[#This Row],[Salary]],0)</f>
        <v>2071</v>
      </c>
      <c r="K143">
        <f>_xlfn.XLOOKUP(staff[[#This Row],[Rating]],'Salary vs. Rating'!$B$12:$B$16,'Salary vs. Rating'!$C$12:$C$16)</f>
        <v>3</v>
      </c>
    </row>
    <row r="144" spans="1:11" x14ac:dyDescent="0.25">
      <c r="A144" t="s">
        <v>96</v>
      </c>
      <c r="B144" t="s">
        <v>8</v>
      </c>
      <c r="C144">
        <v>28</v>
      </c>
      <c r="D144" t="s">
        <v>16</v>
      </c>
      <c r="E144" s="6">
        <v>44649</v>
      </c>
      <c r="F144" t="s">
        <v>9</v>
      </c>
      <c r="G144" s="5">
        <v>104120</v>
      </c>
      <c r="H144" t="s">
        <v>203</v>
      </c>
      <c r="I144" s="7">
        <f ca="1">(TODAY() -staff[[#This Row],[Date Joined]])/365</f>
        <v>1.2246575342465753</v>
      </c>
      <c r="J144" s="5">
        <f ca="1">ROUNDUP(IF(staff[[#This Row],[Tenure]]&gt;2,3%,2%)*staff[[#This Row],[Salary]],0)</f>
        <v>2083</v>
      </c>
      <c r="K144">
        <f>_xlfn.XLOOKUP(staff[[#This Row],[Rating]],'Salary vs. Rating'!$B$12:$B$16,'Salary vs. Rating'!$C$12:$C$16)</f>
        <v>3</v>
      </c>
    </row>
    <row r="145" spans="1:11" x14ac:dyDescent="0.25">
      <c r="A145" t="s">
        <v>188</v>
      </c>
      <c r="B145" t="s">
        <v>8</v>
      </c>
      <c r="C145">
        <v>28</v>
      </c>
      <c r="D145" t="s">
        <v>16</v>
      </c>
      <c r="E145" s="6">
        <v>44590</v>
      </c>
      <c r="F145" t="s">
        <v>9</v>
      </c>
      <c r="G145" s="5">
        <v>104120</v>
      </c>
      <c r="H145" t="s">
        <v>205</v>
      </c>
      <c r="I145" s="7">
        <f ca="1">(TODAY() -staff[[#This Row],[Date Joined]])/365</f>
        <v>1.3863013698630138</v>
      </c>
      <c r="J145" s="5">
        <f ca="1">ROUNDUP(IF(staff[[#This Row],[Tenure]]&gt;2,3%,2%)*staff[[#This Row],[Salary]],0)</f>
        <v>2083</v>
      </c>
      <c r="K145">
        <f>_xlfn.XLOOKUP(staff[[#This Row],[Rating]],'Salary vs. Rating'!$B$12:$B$16,'Salary vs. Rating'!$C$12:$C$16)</f>
        <v>3</v>
      </c>
    </row>
    <row r="146" spans="1:11" x14ac:dyDescent="0.25">
      <c r="A146" t="s">
        <v>101</v>
      </c>
      <c r="B146" t="s">
        <v>8</v>
      </c>
      <c r="C146">
        <v>40</v>
      </c>
      <c r="D146" t="s">
        <v>16</v>
      </c>
      <c r="E146" s="6">
        <v>44381</v>
      </c>
      <c r="F146" t="s">
        <v>12</v>
      </c>
      <c r="G146" s="5">
        <v>104410</v>
      </c>
      <c r="H146" t="s">
        <v>203</v>
      </c>
      <c r="I146" s="7">
        <f ca="1">(TODAY() -staff[[#This Row],[Date Joined]])/365</f>
        <v>1.9589041095890412</v>
      </c>
      <c r="J146" s="5">
        <f ca="1">ROUNDUP(IF(staff[[#This Row],[Tenure]]&gt;2,3%,2%)*staff[[#This Row],[Salary]],0)</f>
        <v>2089</v>
      </c>
      <c r="K146">
        <f>_xlfn.XLOOKUP(staff[[#This Row],[Rating]],'Salary vs. Rating'!$B$12:$B$16,'Salary vs. Rating'!$C$12:$C$16)</f>
        <v>3</v>
      </c>
    </row>
    <row r="147" spans="1:11" x14ac:dyDescent="0.25">
      <c r="A147" t="s">
        <v>193</v>
      </c>
      <c r="B147" t="s">
        <v>8</v>
      </c>
      <c r="C147">
        <v>40</v>
      </c>
      <c r="D147" t="s">
        <v>16</v>
      </c>
      <c r="E147" s="6">
        <v>44320</v>
      </c>
      <c r="F147" t="s">
        <v>12</v>
      </c>
      <c r="G147" s="5">
        <v>104410</v>
      </c>
      <c r="H147" t="s">
        <v>205</v>
      </c>
      <c r="I147" s="7">
        <f ca="1">(TODAY() -staff[[#This Row],[Date Joined]])/365</f>
        <v>2.1260273972602741</v>
      </c>
      <c r="J147" s="5">
        <f ca="1">ROUNDUP(IF(staff[[#This Row],[Tenure]]&gt;2,3%,2%)*staff[[#This Row],[Salary]],0)</f>
        <v>3133</v>
      </c>
      <c r="K147">
        <f>_xlfn.XLOOKUP(staff[[#This Row],[Rating]],'Salary vs. Rating'!$B$12:$B$16,'Salary vs. Rating'!$C$12:$C$16)</f>
        <v>3</v>
      </c>
    </row>
    <row r="148" spans="1:11" x14ac:dyDescent="0.25">
      <c r="A148" t="s">
        <v>43</v>
      </c>
      <c r="B148" t="s">
        <v>8</v>
      </c>
      <c r="C148">
        <v>28</v>
      </c>
      <c r="D148" t="s">
        <v>16</v>
      </c>
      <c r="E148" s="6">
        <v>44486</v>
      </c>
      <c r="F148" t="s">
        <v>9</v>
      </c>
      <c r="G148" s="5">
        <v>104770</v>
      </c>
      <c r="H148" t="s">
        <v>203</v>
      </c>
      <c r="I148" s="7">
        <f ca="1">(TODAY() -staff[[#This Row],[Date Joined]])/365</f>
        <v>1.6712328767123288</v>
      </c>
      <c r="J148" s="5">
        <f ca="1">ROUNDUP(IF(staff[[#This Row],[Tenure]]&gt;2,3%,2%)*staff[[#This Row],[Salary]],0)</f>
        <v>2096</v>
      </c>
      <c r="K148">
        <f>_xlfn.XLOOKUP(staff[[#This Row],[Rating]],'Salary vs. Rating'!$B$12:$B$16,'Salary vs. Rating'!$C$12:$C$16)</f>
        <v>3</v>
      </c>
    </row>
    <row r="149" spans="1:11" x14ac:dyDescent="0.25">
      <c r="A149" t="s">
        <v>135</v>
      </c>
      <c r="B149" t="s">
        <v>8</v>
      </c>
      <c r="C149">
        <v>28</v>
      </c>
      <c r="D149" t="s">
        <v>16</v>
      </c>
      <c r="E149" s="6">
        <v>44425</v>
      </c>
      <c r="F149" t="s">
        <v>9</v>
      </c>
      <c r="G149" s="5">
        <v>104770</v>
      </c>
      <c r="H149" t="s">
        <v>205</v>
      </c>
      <c r="I149" s="7">
        <f ca="1">(TODAY() -staff[[#This Row],[Date Joined]])/365</f>
        <v>1.8383561643835618</v>
      </c>
      <c r="J149" s="5">
        <f ca="1">ROUNDUP(IF(staff[[#This Row],[Tenure]]&gt;2,3%,2%)*staff[[#This Row],[Salary]],0)</f>
        <v>2096</v>
      </c>
      <c r="K149">
        <f>_xlfn.XLOOKUP(staff[[#This Row],[Rating]],'Salary vs. Rating'!$B$12:$B$16,'Salary vs. Rating'!$C$12:$C$16)</f>
        <v>3</v>
      </c>
    </row>
    <row r="150" spans="1:11" x14ac:dyDescent="0.25">
      <c r="A150" t="s">
        <v>69</v>
      </c>
      <c r="B150" t="s">
        <v>15</v>
      </c>
      <c r="C150">
        <v>23</v>
      </c>
      <c r="D150" t="s">
        <v>16</v>
      </c>
      <c r="E150" s="6">
        <v>44440</v>
      </c>
      <c r="F150" t="s">
        <v>9</v>
      </c>
      <c r="G150" s="5">
        <v>106460</v>
      </c>
      <c r="H150" t="s">
        <v>203</v>
      </c>
      <c r="I150" s="7">
        <f ca="1">(TODAY() -staff[[#This Row],[Date Joined]])/365</f>
        <v>1.7972602739726027</v>
      </c>
      <c r="J150" s="5">
        <f ca="1">ROUNDUP(IF(staff[[#This Row],[Tenure]]&gt;2,3%,2%)*staff[[#This Row],[Salary]],0)</f>
        <v>2130</v>
      </c>
      <c r="K150">
        <f>_xlfn.XLOOKUP(staff[[#This Row],[Rating]],'Salary vs. Rating'!$B$12:$B$16,'Salary vs. Rating'!$C$12:$C$16)</f>
        <v>3</v>
      </c>
    </row>
    <row r="151" spans="1:11" x14ac:dyDescent="0.25">
      <c r="A151" t="s">
        <v>160</v>
      </c>
      <c r="B151" t="s">
        <v>15</v>
      </c>
      <c r="C151">
        <v>23</v>
      </c>
      <c r="D151" t="s">
        <v>16</v>
      </c>
      <c r="E151" s="6">
        <v>44378</v>
      </c>
      <c r="F151" t="s">
        <v>9</v>
      </c>
      <c r="G151" s="5">
        <v>106460</v>
      </c>
      <c r="H151" t="s">
        <v>205</v>
      </c>
      <c r="I151" s="7">
        <f ca="1">(TODAY() -staff[[#This Row],[Date Joined]])/365</f>
        <v>1.9671232876712328</v>
      </c>
      <c r="J151" s="5">
        <f ca="1">ROUNDUP(IF(staff[[#This Row],[Tenure]]&gt;2,3%,2%)*staff[[#This Row],[Salary]],0)</f>
        <v>2130</v>
      </c>
      <c r="K151">
        <f>_xlfn.XLOOKUP(staff[[#This Row],[Rating]],'Salary vs. Rating'!$B$12:$B$16,'Salary vs. Rating'!$C$12:$C$16)</f>
        <v>3</v>
      </c>
    </row>
    <row r="152" spans="1:11" x14ac:dyDescent="0.25">
      <c r="A152" t="s">
        <v>22</v>
      </c>
      <c r="B152" t="s">
        <v>15</v>
      </c>
      <c r="C152">
        <v>20</v>
      </c>
      <c r="D152" t="s">
        <v>16</v>
      </c>
      <c r="E152" s="6">
        <v>44459</v>
      </c>
      <c r="F152" t="s">
        <v>12</v>
      </c>
      <c r="G152" s="5">
        <v>107700</v>
      </c>
      <c r="H152" t="s">
        <v>203</v>
      </c>
      <c r="I152" s="7">
        <f ca="1">(TODAY() -staff[[#This Row],[Date Joined]])/365</f>
        <v>1.7452054794520548</v>
      </c>
      <c r="J152" s="5">
        <f ca="1">ROUNDUP(IF(staff[[#This Row],[Tenure]]&gt;2,3%,2%)*staff[[#This Row],[Salary]],0)</f>
        <v>2154</v>
      </c>
      <c r="K152">
        <f>_xlfn.XLOOKUP(staff[[#This Row],[Rating]],'Salary vs. Rating'!$B$12:$B$16,'Salary vs. Rating'!$C$12:$C$16)</f>
        <v>3</v>
      </c>
    </row>
    <row r="153" spans="1:11" x14ac:dyDescent="0.25">
      <c r="A153" t="s">
        <v>116</v>
      </c>
      <c r="B153" t="s">
        <v>15</v>
      </c>
      <c r="C153">
        <v>20</v>
      </c>
      <c r="D153" t="s">
        <v>16</v>
      </c>
      <c r="E153" s="6">
        <v>44397</v>
      </c>
      <c r="F153" t="s">
        <v>12</v>
      </c>
      <c r="G153" s="5">
        <v>107700</v>
      </c>
      <c r="H153" t="s">
        <v>205</v>
      </c>
      <c r="I153" s="7">
        <f ca="1">(TODAY() -staff[[#This Row],[Date Joined]])/365</f>
        <v>1.9150684931506849</v>
      </c>
      <c r="J153" s="5">
        <f ca="1">ROUNDUP(IF(staff[[#This Row],[Tenure]]&gt;2,3%,2%)*staff[[#This Row],[Salary]],0)</f>
        <v>2154</v>
      </c>
      <c r="K153">
        <f>_xlfn.XLOOKUP(staff[[#This Row],[Rating]],'Salary vs. Rating'!$B$12:$B$16,'Salary vs. Rating'!$C$12:$C$16)</f>
        <v>3</v>
      </c>
    </row>
    <row r="154" spans="1:11" x14ac:dyDescent="0.25">
      <c r="A154" t="s">
        <v>33</v>
      </c>
      <c r="B154" t="s">
        <v>8</v>
      </c>
      <c r="C154">
        <v>38</v>
      </c>
      <c r="D154" t="s">
        <v>10</v>
      </c>
      <c r="E154" s="6">
        <v>44377</v>
      </c>
      <c r="F154" t="s">
        <v>19</v>
      </c>
      <c r="G154" s="5">
        <v>109160</v>
      </c>
      <c r="H154" t="s">
        <v>203</v>
      </c>
      <c r="I154" s="7">
        <f ca="1">(TODAY() -staff[[#This Row],[Date Joined]])/365</f>
        <v>1.9698630136986301</v>
      </c>
      <c r="J154" s="5">
        <f ca="1">ROUNDUP(IF(staff[[#This Row],[Tenure]]&gt;2,3%,2%)*staff[[#This Row],[Salary]],0)</f>
        <v>2184</v>
      </c>
      <c r="K154">
        <f>_xlfn.XLOOKUP(staff[[#This Row],[Rating]],'Salary vs. Rating'!$B$12:$B$16,'Salary vs. Rating'!$C$12:$C$16)</f>
        <v>5</v>
      </c>
    </row>
    <row r="155" spans="1:11" x14ac:dyDescent="0.25">
      <c r="A155" t="s">
        <v>126</v>
      </c>
      <c r="B155" t="s">
        <v>8</v>
      </c>
      <c r="C155">
        <v>38</v>
      </c>
      <c r="D155" t="s">
        <v>10</v>
      </c>
      <c r="E155" s="6">
        <v>44316</v>
      </c>
      <c r="F155" t="s">
        <v>19</v>
      </c>
      <c r="G155" s="5">
        <v>109160</v>
      </c>
      <c r="H155" t="s">
        <v>205</v>
      </c>
      <c r="I155" s="7">
        <f ca="1">(TODAY() -staff[[#This Row],[Date Joined]])/365</f>
        <v>2.1369863013698631</v>
      </c>
      <c r="J155" s="5">
        <f ca="1">ROUNDUP(IF(staff[[#This Row],[Tenure]]&gt;2,3%,2%)*staff[[#This Row],[Salary]],0)</f>
        <v>3275</v>
      </c>
      <c r="K155">
        <f>_xlfn.XLOOKUP(staff[[#This Row],[Rating]],'Salary vs. Rating'!$B$12:$B$16,'Salary vs. Rating'!$C$12:$C$16)</f>
        <v>5</v>
      </c>
    </row>
    <row r="156" spans="1:11" x14ac:dyDescent="0.25">
      <c r="A156" t="s">
        <v>34</v>
      </c>
      <c r="B156" t="s">
        <v>15</v>
      </c>
      <c r="C156">
        <v>25</v>
      </c>
      <c r="D156" t="s">
        <v>13</v>
      </c>
      <c r="E156" s="6">
        <v>44726</v>
      </c>
      <c r="F156" t="s">
        <v>9</v>
      </c>
      <c r="G156" s="5">
        <v>109190</v>
      </c>
      <c r="H156" t="s">
        <v>203</v>
      </c>
      <c r="I156" s="7">
        <f ca="1">(TODAY() -staff[[#This Row],[Date Joined]])/365</f>
        <v>1.0136986301369864</v>
      </c>
      <c r="J156" s="5">
        <f ca="1">ROUNDUP(IF(staff[[#This Row],[Tenure]]&gt;2,3%,2%)*staff[[#This Row],[Salary]],0)</f>
        <v>2184</v>
      </c>
      <c r="K156">
        <f>_xlfn.XLOOKUP(staff[[#This Row],[Rating]],'Salary vs. Rating'!$B$12:$B$16,'Salary vs. Rating'!$C$12:$C$16)</f>
        <v>4</v>
      </c>
    </row>
    <row r="157" spans="1:11" x14ac:dyDescent="0.25">
      <c r="A157" t="s">
        <v>127</v>
      </c>
      <c r="B157" t="s">
        <v>15</v>
      </c>
      <c r="C157">
        <v>25</v>
      </c>
      <c r="D157" t="s">
        <v>13</v>
      </c>
      <c r="E157" s="6">
        <v>44665</v>
      </c>
      <c r="F157" t="s">
        <v>9</v>
      </c>
      <c r="G157" s="5">
        <v>109190</v>
      </c>
      <c r="H157" t="s">
        <v>205</v>
      </c>
      <c r="I157" s="7">
        <f ca="1">(TODAY() -staff[[#This Row],[Date Joined]])/365</f>
        <v>1.1808219178082191</v>
      </c>
      <c r="J157" s="5">
        <f ca="1">ROUNDUP(IF(staff[[#This Row],[Tenure]]&gt;2,3%,2%)*staff[[#This Row],[Salary]],0)</f>
        <v>2184</v>
      </c>
      <c r="K157">
        <f>_xlfn.XLOOKUP(staff[[#This Row],[Rating]],'Salary vs. Rating'!$B$12:$B$16,'Salary vs. Rating'!$C$12:$C$16)</f>
        <v>4</v>
      </c>
    </row>
    <row r="158" spans="1:11" x14ac:dyDescent="0.25">
      <c r="A158" t="s">
        <v>87</v>
      </c>
      <c r="B158" t="s">
        <v>15</v>
      </c>
      <c r="C158">
        <v>29</v>
      </c>
      <c r="D158" t="s">
        <v>24</v>
      </c>
      <c r="E158" s="6">
        <v>44180</v>
      </c>
      <c r="F158" t="s">
        <v>12</v>
      </c>
      <c r="G158" s="5">
        <v>112110</v>
      </c>
      <c r="H158" t="s">
        <v>203</v>
      </c>
      <c r="I158" s="7">
        <f ca="1">(TODAY() -staff[[#This Row],[Date Joined]])/365</f>
        <v>2.5095890410958903</v>
      </c>
      <c r="J158" s="5">
        <f ca="1">ROUNDUP(IF(staff[[#This Row],[Tenure]]&gt;2,3%,2%)*staff[[#This Row],[Salary]],0)</f>
        <v>3364</v>
      </c>
      <c r="K158">
        <f>_xlfn.XLOOKUP(staff[[#This Row],[Rating]],'Salary vs. Rating'!$B$12:$B$16,'Salary vs. Rating'!$C$12:$C$16)</f>
        <v>2</v>
      </c>
    </row>
    <row r="159" spans="1:11" x14ac:dyDescent="0.25">
      <c r="A159" t="s">
        <v>179</v>
      </c>
      <c r="B159" t="s">
        <v>15</v>
      </c>
      <c r="C159">
        <v>29</v>
      </c>
      <c r="D159" t="s">
        <v>24</v>
      </c>
      <c r="E159" s="6">
        <v>44119</v>
      </c>
      <c r="F159" t="s">
        <v>12</v>
      </c>
      <c r="G159" s="5">
        <v>112110</v>
      </c>
      <c r="H159" t="s">
        <v>205</v>
      </c>
      <c r="I159" s="7">
        <f ca="1">(TODAY() -staff[[#This Row],[Date Joined]])/365</f>
        <v>2.6767123287671235</v>
      </c>
      <c r="J159" s="5">
        <f ca="1">ROUNDUP(IF(staff[[#This Row],[Tenure]]&gt;2,3%,2%)*staff[[#This Row],[Salary]],0)</f>
        <v>3364</v>
      </c>
      <c r="K159">
        <f>_xlfn.XLOOKUP(staff[[#This Row],[Rating]],'Salary vs. Rating'!$B$12:$B$16,'Salary vs. Rating'!$C$12:$C$16)</f>
        <v>2</v>
      </c>
    </row>
    <row r="160" spans="1:11" x14ac:dyDescent="0.25">
      <c r="A160" t="s">
        <v>81</v>
      </c>
      <c r="B160" t="s">
        <v>8</v>
      </c>
      <c r="C160">
        <v>30</v>
      </c>
      <c r="D160" t="s">
        <v>16</v>
      </c>
      <c r="E160" s="6">
        <v>44861</v>
      </c>
      <c r="F160" t="s">
        <v>9</v>
      </c>
      <c r="G160" s="5">
        <v>112570</v>
      </c>
      <c r="H160" t="s">
        <v>203</v>
      </c>
      <c r="I160" s="7">
        <f ca="1">(TODAY() -staff[[#This Row],[Date Joined]])/365</f>
        <v>0.64383561643835618</v>
      </c>
      <c r="J160" s="5">
        <f ca="1">ROUNDUP(IF(staff[[#This Row],[Tenure]]&gt;2,3%,2%)*staff[[#This Row],[Salary]],0)</f>
        <v>2252</v>
      </c>
      <c r="K160">
        <f>_xlfn.XLOOKUP(staff[[#This Row],[Rating]],'Salary vs. Rating'!$B$12:$B$16,'Salary vs. Rating'!$C$12:$C$16)</f>
        <v>3</v>
      </c>
    </row>
    <row r="161" spans="1:11" x14ac:dyDescent="0.25">
      <c r="A161" t="s">
        <v>172</v>
      </c>
      <c r="B161" t="s">
        <v>8</v>
      </c>
      <c r="C161">
        <v>30</v>
      </c>
      <c r="D161" t="s">
        <v>16</v>
      </c>
      <c r="E161" s="6">
        <v>44800</v>
      </c>
      <c r="F161" t="s">
        <v>9</v>
      </c>
      <c r="G161" s="5">
        <v>112570</v>
      </c>
      <c r="H161" t="s">
        <v>205</v>
      </c>
      <c r="I161" s="7">
        <f ca="1">(TODAY() -staff[[#This Row],[Date Joined]])/365</f>
        <v>0.81095890410958904</v>
      </c>
      <c r="J161" s="5">
        <f ca="1">ROUNDUP(IF(staff[[#This Row],[Tenure]]&gt;2,3%,2%)*staff[[#This Row],[Salary]],0)</f>
        <v>2252</v>
      </c>
      <c r="K161">
        <f>_xlfn.XLOOKUP(staff[[#This Row],[Rating]],'Salary vs. Rating'!$B$12:$B$16,'Salary vs. Rating'!$C$12:$C$16)</f>
        <v>3</v>
      </c>
    </row>
    <row r="162" spans="1:11" x14ac:dyDescent="0.25">
      <c r="A162" t="s">
        <v>64</v>
      </c>
      <c r="B162" t="s">
        <v>15</v>
      </c>
      <c r="C162">
        <v>20</v>
      </c>
      <c r="D162" t="s">
        <v>16</v>
      </c>
      <c r="E162" s="6">
        <v>44183</v>
      </c>
      <c r="F162" t="s">
        <v>12</v>
      </c>
      <c r="G162" s="5">
        <v>112650</v>
      </c>
      <c r="H162" t="s">
        <v>203</v>
      </c>
      <c r="I162" s="7">
        <f ca="1">(TODAY() -staff[[#This Row],[Date Joined]])/365</f>
        <v>2.5013698630136987</v>
      </c>
      <c r="J162" s="5">
        <f ca="1">ROUNDUP(IF(staff[[#This Row],[Tenure]]&gt;2,3%,2%)*staff[[#This Row],[Salary]],0)</f>
        <v>3380</v>
      </c>
      <c r="K162">
        <f>_xlfn.XLOOKUP(staff[[#This Row],[Rating]],'Salary vs. Rating'!$B$12:$B$16,'Salary vs. Rating'!$C$12:$C$16)</f>
        <v>3</v>
      </c>
    </row>
    <row r="163" spans="1:11" x14ac:dyDescent="0.25">
      <c r="A163" t="s">
        <v>155</v>
      </c>
      <c r="B163" t="s">
        <v>15</v>
      </c>
      <c r="C163">
        <v>20</v>
      </c>
      <c r="D163" t="s">
        <v>16</v>
      </c>
      <c r="E163" s="6">
        <v>44122</v>
      </c>
      <c r="F163" t="s">
        <v>12</v>
      </c>
      <c r="G163" s="5">
        <v>112650</v>
      </c>
      <c r="H163" t="s">
        <v>205</v>
      </c>
      <c r="I163" s="7">
        <f ca="1">(TODAY() -staff[[#This Row],[Date Joined]])/365</f>
        <v>2.6684931506849314</v>
      </c>
      <c r="J163" s="5">
        <f ca="1">ROUNDUP(IF(staff[[#This Row],[Tenure]]&gt;2,3%,2%)*staff[[#This Row],[Salary]],0)</f>
        <v>3380</v>
      </c>
      <c r="K163">
        <f>_xlfn.XLOOKUP(staff[[#This Row],[Rating]],'Salary vs. Rating'!$B$12:$B$16,'Salary vs. Rating'!$C$12:$C$16)</f>
        <v>3</v>
      </c>
    </row>
    <row r="164" spans="1:11" x14ac:dyDescent="0.25">
      <c r="A164" t="s">
        <v>177</v>
      </c>
      <c r="B164" t="s">
        <v>15</v>
      </c>
      <c r="C164">
        <v>34</v>
      </c>
      <c r="D164" t="s">
        <v>16</v>
      </c>
      <c r="E164" s="6">
        <v>44642</v>
      </c>
      <c r="F164" t="s">
        <v>9</v>
      </c>
      <c r="G164" s="5">
        <v>112650</v>
      </c>
      <c r="H164" t="s">
        <v>205</v>
      </c>
      <c r="I164" s="7">
        <f ca="1">(TODAY() -staff[[#This Row],[Date Joined]])/365</f>
        <v>1.2438356164383562</v>
      </c>
      <c r="J164" s="5">
        <f ca="1">ROUNDUP(IF(staff[[#This Row],[Tenure]]&gt;2,3%,2%)*staff[[#This Row],[Salary]],0)</f>
        <v>2253</v>
      </c>
      <c r="K164">
        <f>_xlfn.XLOOKUP(staff[[#This Row],[Rating]],'Salary vs. Rating'!$B$12:$B$16,'Salary vs. Rating'!$C$12:$C$16)</f>
        <v>3</v>
      </c>
    </row>
    <row r="165" spans="1:11" x14ac:dyDescent="0.25">
      <c r="A165" t="s">
        <v>58</v>
      </c>
      <c r="B165" t="s">
        <v>15</v>
      </c>
      <c r="C165">
        <v>22</v>
      </c>
      <c r="D165" t="s">
        <v>13</v>
      </c>
      <c r="E165" s="6">
        <v>44446</v>
      </c>
      <c r="F165" t="s">
        <v>19</v>
      </c>
      <c r="G165" s="5">
        <v>112780</v>
      </c>
      <c r="H165" t="s">
        <v>203</v>
      </c>
      <c r="I165" s="7">
        <f ca="1">(TODAY() -staff[[#This Row],[Date Joined]])/365</f>
        <v>1.7808219178082192</v>
      </c>
      <c r="J165" s="5">
        <f ca="1">ROUNDUP(IF(staff[[#This Row],[Tenure]]&gt;2,3%,2%)*staff[[#This Row],[Salary]],0)</f>
        <v>2256</v>
      </c>
      <c r="K165">
        <f>_xlfn.XLOOKUP(staff[[#This Row],[Rating]],'Salary vs. Rating'!$B$12:$B$16,'Salary vs. Rating'!$C$12:$C$16)</f>
        <v>4</v>
      </c>
    </row>
    <row r="166" spans="1:11" x14ac:dyDescent="0.25">
      <c r="A166" t="s">
        <v>149</v>
      </c>
      <c r="B166" t="s">
        <v>15</v>
      </c>
      <c r="C166">
        <v>22</v>
      </c>
      <c r="D166" t="s">
        <v>13</v>
      </c>
      <c r="E166" s="6">
        <v>44384</v>
      </c>
      <c r="F166" t="s">
        <v>19</v>
      </c>
      <c r="G166" s="5">
        <v>112780</v>
      </c>
      <c r="H166" t="s">
        <v>205</v>
      </c>
      <c r="I166" s="7">
        <f ca="1">(TODAY() -staff[[#This Row],[Date Joined]])/365</f>
        <v>1.9506849315068493</v>
      </c>
      <c r="J166" s="5">
        <f ca="1">ROUNDUP(IF(staff[[#This Row],[Tenure]]&gt;2,3%,2%)*staff[[#This Row],[Salary]],0)</f>
        <v>2256</v>
      </c>
      <c r="K166">
        <f>_xlfn.XLOOKUP(staff[[#This Row],[Rating]],'Salary vs. Rating'!$B$12:$B$16,'Salary vs. Rating'!$C$12:$C$16)</f>
        <v>4</v>
      </c>
    </row>
    <row r="167" spans="1:11" x14ac:dyDescent="0.25">
      <c r="A167" t="s">
        <v>98</v>
      </c>
      <c r="B167" t="s">
        <v>15</v>
      </c>
      <c r="C167">
        <v>27</v>
      </c>
      <c r="D167" t="s">
        <v>42</v>
      </c>
      <c r="E167" s="6">
        <v>44609</v>
      </c>
      <c r="F167" t="s">
        <v>9</v>
      </c>
      <c r="G167" s="5">
        <v>113280</v>
      </c>
      <c r="H167" t="s">
        <v>203</v>
      </c>
      <c r="I167" s="7">
        <f ca="1">(TODAY() -staff[[#This Row],[Date Joined]])/365</f>
        <v>1.3342465753424657</v>
      </c>
      <c r="J167" s="5">
        <f ca="1">ROUNDUP(IF(staff[[#This Row],[Tenure]]&gt;2,3%,2%)*staff[[#This Row],[Salary]],0)</f>
        <v>2266</v>
      </c>
      <c r="K167">
        <f>_xlfn.XLOOKUP(staff[[#This Row],[Rating]],'Salary vs. Rating'!$B$12:$B$16,'Salary vs. Rating'!$C$12:$C$16)</f>
        <v>1</v>
      </c>
    </row>
    <row r="168" spans="1:11" x14ac:dyDescent="0.25">
      <c r="A168" t="s">
        <v>190</v>
      </c>
      <c r="B168" t="s">
        <v>15</v>
      </c>
      <c r="C168">
        <v>27</v>
      </c>
      <c r="D168" t="s">
        <v>42</v>
      </c>
      <c r="E168" s="6">
        <v>44547</v>
      </c>
      <c r="F168" t="s">
        <v>9</v>
      </c>
      <c r="G168" s="5">
        <v>113280</v>
      </c>
      <c r="H168" t="s">
        <v>205</v>
      </c>
      <c r="I168" s="7">
        <f ca="1">(TODAY() -staff[[#This Row],[Date Joined]])/365</f>
        <v>1.5041095890410958</v>
      </c>
      <c r="J168" s="5">
        <f ca="1">ROUNDUP(IF(staff[[#This Row],[Tenure]]&gt;2,3%,2%)*staff[[#This Row],[Salary]],0)</f>
        <v>2266</v>
      </c>
      <c r="K168">
        <f>_xlfn.XLOOKUP(staff[[#This Row],[Rating]],'Salary vs. Rating'!$B$12:$B$16,'Salary vs. Rating'!$C$12:$C$16)</f>
        <v>1</v>
      </c>
    </row>
    <row r="169" spans="1:11" x14ac:dyDescent="0.25">
      <c r="A169" t="s">
        <v>54</v>
      </c>
      <c r="B169" t="s">
        <v>8</v>
      </c>
      <c r="C169">
        <v>30</v>
      </c>
      <c r="D169" t="s">
        <v>16</v>
      </c>
      <c r="E169" s="6">
        <v>44850</v>
      </c>
      <c r="F169" t="s">
        <v>9</v>
      </c>
      <c r="G169" s="5">
        <v>114180</v>
      </c>
      <c r="H169" t="s">
        <v>203</v>
      </c>
      <c r="I169" s="7">
        <f ca="1">(TODAY() -staff[[#This Row],[Date Joined]])/365</f>
        <v>0.67397260273972603</v>
      </c>
      <c r="J169" s="5">
        <f ca="1">ROUNDUP(IF(staff[[#This Row],[Tenure]]&gt;2,3%,2%)*staff[[#This Row],[Salary]],0)</f>
        <v>2284</v>
      </c>
      <c r="K169">
        <f>_xlfn.XLOOKUP(staff[[#This Row],[Rating]],'Salary vs. Rating'!$B$12:$B$16,'Salary vs. Rating'!$C$12:$C$16)</f>
        <v>3</v>
      </c>
    </row>
    <row r="170" spans="1:11" x14ac:dyDescent="0.25">
      <c r="A170" t="s">
        <v>146</v>
      </c>
      <c r="B170" t="s">
        <v>8</v>
      </c>
      <c r="C170">
        <v>30</v>
      </c>
      <c r="D170" t="s">
        <v>16</v>
      </c>
      <c r="E170" s="6">
        <v>44789</v>
      </c>
      <c r="F170" t="s">
        <v>9</v>
      </c>
      <c r="G170" s="5">
        <v>114180</v>
      </c>
      <c r="H170" t="s">
        <v>205</v>
      </c>
      <c r="I170" s="7">
        <f ca="1">(TODAY() -staff[[#This Row],[Date Joined]])/365</f>
        <v>0.84109589041095889</v>
      </c>
      <c r="J170" s="5">
        <f ca="1">ROUNDUP(IF(staff[[#This Row],[Tenure]]&gt;2,3%,2%)*staff[[#This Row],[Salary]],0)</f>
        <v>2284</v>
      </c>
      <c r="K170">
        <f>_xlfn.XLOOKUP(staff[[#This Row],[Rating]],'Salary vs. Rating'!$B$12:$B$16,'Salary vs. Rating'!$C$12:$C$16)</f>
        <v>3</v>
      </c>
    </row>
    <row r="171" spans="1:11" x14ac:dyDescent="0.25">
      <c r="A171" t="s">
        <v>17</v>
      </c>
      <c r="B171" t="s">
        <v>8</v>
      </c>
      <c r="C171">
        <v>43</v>
      </c>
      <c r="D171" t="s">
        <v>16</v>
      </c>
      <c r="E171" s="6">
        <v>45045</v>
      </c>
      <c r="F171" t="s">
        <v>12</v>
      </c>
      <c r="G171" s="5">
        <v>114870</v>
      </c>
      <c r="H171" t="s">
        <v>203</v>
      </c>
      <c r="I171" s="7">
        <f ca="1">(TODAY() -staff[[#This Row],[Date Joined]])/365</f>
        <v>0.13972602739726028</v>
      </c>
      <c r="J171" s="5">
        <f ca="1">ROUNDUP(IF(staff[[#This Row],[Tenure]]&gt;2,3%,2%)*staff[[#This Row],[Salary]],0)</f>
        <v>2298</v>
      </c>
      <c r="K171">
        <f>_xlfn.XLOOKUP(staff[[#This Row],[Rating]],'Salary vs. Rating'!$B$12:$B$16,'Salary vs. Rating'!$C$12:$C$16)</f>
        <v>3</v>
      </c>
    </row>
    <row r="172" spans="1:11" x14ac:dyDescent="0.25">
      <c r="A172" t="s">
        <v>113</v>
      </c>
      <c r="B172" t="s">
        <v>8</v>
      </c>
      <c r="C172">
        <v>44</v>
      </c>
      <c r="D172" t="s">
        <v>16</v>
      </c>
      <c r="E172" s="6">
        <v>44985</v>
      </c>
      <c r="F172" t="s">
        <v>12</v>
      </c>
      <c r="G172" s="5">
        <v>114870</v>
      </c>
      <c r="H172" t="s">
        <v>205</v>
      </c>
      <c r="I172" s="7">
        <f ca="1">(TODAY() -staff[[#This Row],[Date Joined]])/365</f>
        <v>0.30410958904109592</v>
      </c>
      <c r="J172" s="5">
        <f ca="1">ROUNDUP(IF(staff[[#This Row],[Tenure]]&gt;2,3%,2%)*staff[[#This Row],[Salary]],0)</f>
        <v>2298</v>
      </c>
      <c r="K172">
        <f>_xlfn.XLOOKUP(staff[[#This Row],[Rating]],'Salary vs. Rating'!$B$12:$B$16,'Salary vs. Rating'!$C$12:$C$16)</f>
        <v>3</v>
      </c>
    </row>
    <row r="173" spans="1:11" x14ac:dyDescent="0.25">
      <c r="A173" t="s">
        <v>83</v>
      </c>
      <c r="B173" t="s">
        <v>8</v>
      </c>
      <c r="C173">
        <v>36</v>
      </c>
      <c r="D173" t="s">
        <v>16</v>
      </c>
      <c r="E173" s="6">
        <v>44085</v>
      </c>
      <c r="F173" t="s">
        <v>9</v>
      </c>
      <c r="G173" s="5">
        <v>114890</v>
      </c>
      <c r="H173" t="s">
        <v>203</v>
      </c>
      <c r="I173" s="7">
        <f ca="1">(TODAY() -staff[[#This Row],[Date Joined]])/365</f>
        <v>2.7698630136986302</v>
      </c>
      <c r="J173" s="5">
        <f ca="1">ROUNDUP(IF(staff[[#This Row],[Tenure]]&gt;2,3%,2%)*staff[[#This Row],[Salary]],0)</f>
        <v>3447</v>
      </c>
      <c r="K173">
        <f>_xlfn.XLOOKUP(staff[[#This Row],[Rating]],'Salary vs. Rating'!$B$12:$B$16,'Salary vs. Rating'!$C$12:$C$16)</f>
        <v>3</v>
      </c>
    </row>
    <row r="174" spans="1:11" x14ac:dyDescent="0.25">
      <c r="A174" t="s">
        <v>174</v>
      </c>
      <c r="B174" t="s">
        <v>8</v>
      </c>
      <c r="C174">
        <v>36</v>
      </c>
      <c r="D174" t="s">
        <v>16</v>
      </c>
      <c r="E174" s="6">
        <v>44023</v>
      </c>
      <c r="F174" t="s">
        <v>9</v>
      </c>
      <c r="G174" s="5">
        <v>114890</v>
      </c>
      <c r="H174" t="s">
        <v>205</v>
      </c>
      <c r="I174" s="7">
        <f ca="1">(TODAY() -staff[[#This Row],[Date Joined]])/365</f>
        <v>2.9397260273972603</v>
      </c>
      <c r="J174" s="5">
        <f ca="1">ROUNDUP(IF(staff[[#This Row],[Tenure]]&gt;2,3%,2%)*staff[[#This Row],[Salary]],0)</f>
        <v>3447</v>
      </c>
      <c r="K174">
        <f>_xlfn.XLOOKUP(staff[[#This Row],[Rating]],'Salary vs. Rating'!$B$12:$B$16,'Salary vs. Rating'!$C$12:$C$16)</f>
        <v>3</v>
      </c>
    </row>
    <row r="175" spans="1:11" x14ac:dyDescent="0.25">
      <c r="A175" t="s">
        <v>49</v>
      </c>
      <c r="B175" t="s">
        <v>204</v>
      </c>
      <c r="C175">
        <v>37</v>
      </c>
      <c r="D175" t="s">
        <v>24</v>
      </c>
      <c r="E175" s="6">
        <v>44146</v>
      </c>
      <c r="F175" t="s">
        <v>21</v>
      </c>
      <c r="G175" s="5">
        <v>115440</v>
      </c>
      <c r="H175" t="s">
        <v>203</v>
      </c>
      <c r="I175" s="7">
        <f ca="1">(TODAY() -staff[[#This Row],[Date Joined]])/365</f>
        <v>2.6027397260273974</v>
      </c>
      <c r="J175" s="5">
        <f ca="1">ROUNDUP(IF(staff[[#This Row],[Tenure]]&gt;2,3%,2%)*staff[[#This Row],[Salary]],0)</f>
        <v>3464</v>
      </c>
      <c r="K175">
        <f>_xlfn.XLOOKUP(staff[[#This Row],[Rating]],'Salary vs. Rating'!$B$12:$B$16,'Salary vs. Rating'!$C$12:$C$16)</f>
        <v>2</v>
      </c>
    </row>
    <row r="176" spans="1:11" x14ac:dyDescent="0.25">
      <c r="A176" t="s">
        <v>141</v>
      </c>
      <c r="B176" t="s">
        <v>204</v>
      </c>
      <c r="C176">
        <v>37</v>
      </c>
      <c r="D176" t="s">
        <v>24</v>
      </c>
      <c r="E176" s="6">
        <v>44085</v>
      </c>
      <c r="F176" t="s">
        <v>21</v>
      </c>
      <c r="G176" s="5">
        <v>115440</v>
      </c>
      <c r="H176" t="s">
        <v>205</v>
      </c>
      <c r="I176" s="7">
        <f ca="1">(TODAY() -staff[[#This Row],[Date Joined]])/365</f>
        <v>2.7698630136986302</v>
      </c>
      <c r="J176" s="5">
        <f ca="1">ROUNDUP(IF(staff[[#This Row],[Tenure]]&gt;2,3%,2%)*staff[[#This Row],[Salary]],0)</f>
        <v>3464</v>
      </c>
      <c r="K176">
        <f>_xlfn.XLOOKUP(staff[[#This Row],[Rating]],'Salary vs. Rating'!$B$12:$B$16,'Salary vs. Rating'!$C$12:$C$16)</f>
        <v>2</v>
      </c>
    </row>
    <row r="177" spans="1:11" x14ac:dyDescent="0.25">
      <c r="A177" t="s">
        <v>40</v>
      </c>
      <c r="B177" t="s">
        <v>15</v>
      </c>
      <c r="C177">
        <v>33</v>
      </c>
      <c r="D177" t="s">
        <v>16</v>
      </c>
      <c r="E177" s="6">
        <v>44164</v>
      </c>
      <c r="F177" t="s">
        <v>9</v>
      </c>
      <c r="G177" s="5">
        <v>115920</v>
      </c>
      <c r="H177" t="s">
        <v>203</v>
      </c>
      <c r="I177" s="7">
        <f ca="1">(TODAY() -staff[[#This Row],[Date Joined]])/365</f>
        <v>2.5534246575342467</v>
      </c>
      <c r="J177" s="5">
        <f ca="1">ROUNDUP(IF(staff[[#This Row],[Tenure]]&gt;2,3%,2%)*staff[[#This Row],[Salary]],0)</f>
        <v>3478</v>
      </c>
      <c r="K177">
        <f>_xlfn.XLOOKUP(staff[[#This Row],[Rating]],'Salary vs. Rating'!$B$12:$B$16,'Salary vs. Rating'!$C$12:$C$16)</f>
        <v>3</v>
      </c>
    </row>
    <row r="178" spans="1:11" x14ac:dyDescent="0.25">
      <c r="A178" t="s">
        <v>133</v>
      </c>
      <c r="B178" t="s">
        <v>15</v>
      </c>
      <c r="C178">
        <v>33</v>
      </c>
      <c r="D178" t="s">
        <v>16</v>
      </c>
      <c r="E178" s="6">
        <v>44103</v>
      </c>
      <c r="F178" t="s">
        <v>9</v>
      </c>
      <c r="G178" s="5">
        <v>115920</v>
      </c>
      <c r="H178" t="s">
        <v>205</v>
      </c>
      <c r="I178" s="7">
        <f ca="1">(TODAY() -staff[[#This Row],[Date Joined]])/365</f>
        <v>2.7205479452054795</v>
      </c>
      <c r="J178" s="5">
        <f ca="1">ROUNDUP(IF(staff[[#This Row],[Tenure]]&gt;2,3%,2%)*staff[[#This Row],[Salary]],0)</f>
        <v>3478</v>
      </c>
      <c r="K178">
        <f>_xlfn.XLOOKUP(staff[[#This Row],[Rating]],'Salary vs. Rating'!$B$12:$B$16,'Salary vs. Rating'!$C$12:$C$16)</f>
        <v>3</v>
      </c>
    </row>
    <row r="179" spans="1:11" x14ac:dyDescent="0.25">
      <c r="A179" t="s">
        <v>55</v>
      </c>
      <c r="B179" t="s">
        <v>8</v>
      </c>
      <c r="C179">
        <v>37</v>
      </c>
      <c r="D179" t="s">
        <v>16</v>
      </c>
      <c r="E179" s="6">
        <v>44451</v>
      </c>
      <c r="F179" t="s">
        <v>56</v>
      </c>
      <c r="G179" s="5">
        <v>118100</v>
      </c>
      <c r="H179" t="s">
        <v>203</v>
      </c>
      <c r="I179" s="7">
        <f ca="1">(TODAY() -staff[[#This Row],[Date Joined]])/365</f>
        <v>1.7671232876712328</v>
      </c>
      <c r="J179" s="5">
        <f ca="1">ROUNDUP(IF(staff[[#This Row],[Tenure]]&gt;2,3%,2%)*staff[[#This Row],[Salary]],0)</f>
        <v>2362</v>
      </c>
      <c r="K179">
        <f>_xlfn.XLOOKUP(staff[[#This Row],[Rating]],'Salary vs. Rating'!$B$12:$B$16,'Salary vs. Rating'!$C$12:$C$16)</f>
        <v>3</v>
      </c>
    </row>
    <row r="180" spans="1:11" x14ac:dyDescent="0.25">
      <c r="A180" t="s">
        <v>147</v>
      </c>
      <c r="B180" t="s">
        <v>8</v>
      </c>
      <c r="C180">
        <v>37</v>
      </c>
      <c r="D180" t="s">
        <v>16</v>
      </c>
      <c r="E180" s="6">
        <v>44389</v>
      </c>
      <c r="F180" t="s">
        <v>56</v>
      </c>
      <c r="G180" s="5">
        <v>118100</v>
      </c>
      <c r="H180" t="s">
        <v>205</v>
      </c>
      <c r="I180" s="7">
        <f ca="1">(TODAY() -staff[[#This Row],[Date Joined]])/365</f>
        <v>1.9369863013698629</v>
      </c>
      <c r="J180" s="5">
        <f ca="1">ROUNDUP(IF(staff[[#This Row],[Tenure]]&gt;2,3%,2%)*staff[[#This Row],[Salary]],0)</f>
        <v>2362</v>
      </c>
      <c r="K180">
        <f>_xlfn.XLOOKUP(staff[[#This Row],[Rating]],'Salary vs. Rating'!$B$12:$B$16,'Salary vs. Rating'!$C$12:$C$16)</f>
        <v>3</v>
      </c>
    </row>
    <row r="181" spans="1:11" x14ac:dyDescent="0.25">
      <c r="A181" t="s">
        <v>106</v>
      </c>
      <c r="B181" t="s">
        <v>15</v>
      </c>
      <c r="C181">
        <v>36</v>
      </c>
      <c r="D181" t="s">
        <v>16</v>
      </c>
      <c r="E181" s="6">
        <v>44019</v>
      </c>
      <c r="F181" t="s">
        <v>12</v>
      </c>
      <c r="G181" s="5">
        <v>118840</v>
      </c>
      <c r="H181" t="s">
        <v>203</v>
      </c>
      <c r="I181" s="7">
        <f ca="1">(TODAY() -staff[[#This Row],[Date Joined]])/365</f>
        <v>2.9506849315068493</v>
      </c>
      <c r="J181" s="5">
        <f ca="1">ROUNDUP(IF(staff[[#This Row],[Tenure]]&gt;2,3%,2%)*staff[[#This Row],[Salary]],0)</f>
        <v>3566</v>
      </c>
      <c r="K181">
        <f>_xlfn.XLOOKUP(staff[[#This Row],[Rating]],'Salary vs. Rating'!$B$12:$B$16,'Salary vs. Rating'!$C$12:$C$16)</f>
        <v>3</v>
      </c>
    </row>
    <row r="182" spans="1:11" x14ac:dyDescent="0.25">
      <c r="A182" t="s">
        <v>198</v>
      </c>
      <c r="B182" t="s">
        <v>15</v>
      </c>
      <c r="C182">
        <v>36</v>
      </c>
      <c r="D182" t="s">
        <v>16</v>
      </c>
      <c r="E182" s="6">
        <v>43958</v>
      </c>
      <c r="F182" t="s">
        <v>12</v>
      </c>
      <c r="G182" s="5">
        <v>118840</v>
      </c>
      <c r="H182" t="s">
        <v>205</v>
      </c>
      <c r="I182" s="7">
        <f ca="1">(TODAY() -staff[[#This Row],[Date Joined]])/365</f>
        <v>3.117808219178082</v>
      </c>
      <c r="J182" s="5">
        <f ca="1">ROUNDUP(IF(staff[[#This Row],[Tenure]]&gt;2,3%,2%)*staff[[#This Row],[Salary]],0)</f>
        <v>3566</v>
      </c>
      <c r="K182">
        <f>_xlfn.XLOOKUP(staff[[#This Row],[Rating]],'Salary vs. Rating'!$B$12:$B$16,'Salary vs. Rating'!$C$12:$C$16)</f>
        <v>3</v>
      </c>
    </row>
    <row r="183" spans="1:11" x14ac:dyDescent="0.25">
      <c r="A183" t="s">
        <v>60</v>
      </c>
      <c r="B183" t="s">
        <v>8</v>
      </c>
      <c r="C183">
        <v>27</v>
      </c>
      <c r="D183" t="s">
        <v>16</v>
      </c>
      <c r="E183" s="6">
        <v>44122</v>
      </c>
      <c r="F183" t="s">
        <v>56</v>
      </c>
      <c r="G183" s="5">
        <v>119110</v>
      </c>
      <c r="H183" t="s">
        <v>203</v>
      </c>
      <c r="I183" s="7">
        <f ca="1">(TODAY() -staff[[#This Row],[Date Joined]])/365</f>
        <v>2.6684931506849314</v>
      </c>
      <c r="J183" s="5">
        <f ca="1">ROUNDUP(IF(staff[[#This Row],[Tenure]]&gt;2,3%,2%)*staff[[#This Row],[Salary]],0)</f>
        <v>3574</v>
      </c>
      <c r="K183">
        <f>_xlfn.XLOOKUP(staff[[#This Row],[Rating]],'Salary vs. Rating'!$B$12:$B$16,'Salary vs. Rating'!$C$12:$C$16)</f>
        <v>3</v>
      </c>
    </row>
    <row r="184" spans="1:11" x14ac:dyDescent="0.25">
      <c r="A184" t="s">
        <v>151</v>
      </c>
      <c r="B184" t="s">
        <v>8</v>
      </c>
      <c r="C184">
        <v>27</v>
      </c>
      <c r="D184" t="s">
        <v>16</v>
      </c>
      <c r="E184" s="6">
        <v>44061</v>
      </c>
      <c r="F184" t="s">
        <v>56</v>
      </c>
      <c r="G184" s="5">
        <v>119110</v>
      </c>
      <c r="H184" t="s">
        <v>205</v>
      </c>
      <c r="I184" s="7">
        <f ca="1">(TODAY() -staff[[#This Row],[Date Joined]])/365</f>
        <v>2.8356164383561642</v>
      </c>
      <c r="J184" s="5">
        <f ca="1">ROUNDUP(IF(staff[[#This Row],[Tenure]]&gt;2,3%,2%)*staff[[#This Row],[Salary]],0)</f>
        <v>3574</v>
      </c>
      <c r="K184">
        <f>_xlfn.XLOOKUP(staff[[#This Row],[Rating]],'Salary vs. Rating'!$B$12:$B$16,'Salary vs. Rating'!$C$12:$C$16)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B0183-8356-4E1F-B4AD-2FA3DC7579C5}">
  <dimension ref="A1:L33"/>
  <sheetViews>
    <sheetView workbookViewId="0">
      <selection activeCell="A3" sqref="A3"/>
    </sheetView>
  </sheetViews>
  <sheetFormatPr defaultRowHeight="15" x14ac:dyDescent="0.25"/>
  <cols>
    <col min="1" max="1" width="30.28515625" bestFit="1" customWidth="1"/>
    <col min="2" max="2" width="30" bestFit="1" customWidth="1"/>
    <col min="3" max="3" width="11.7109375" bestFit="1" customWidth="1"/>
    <col min="5" max="5" width="14.28515625" bestFit="1" customWidth="1"/>
    <col min="6" max="6" width="6" bestFit="1" customWidth="1"/>
  </cols>
  <sheetData>
    <row r="1" spans="1:12" ht="18.75" x14ac:dyDescent="0.3">
      <c r="A1" s="38" t="s">
        <v>217</v>
      </c>
    </row>
    <row r="2" spans="1:12" x14ac:dyDescent="0.25">
      <c r="B2" s="12" t="s">
        <v>2</v>
      </c>
      <c r="C2" s="16" t="s">
        <v>19</v>
      </c>
    </row>
    <row r="3" spans="1:12" x14ac:dyDescent="0.25">
      <c r="B3" s="12" t="s">
        <v>218</v>
      </c>
      <c r="C3" s="12">
        <f>COUNTIFS(staff[Department],C2)</f>
        <v>28</v>
      </c>
    </row>
    <row r="5" spans="1:12" x14ac:dyDescent="0.25">
      <c r="B5" s="18">
        <v>1</v>
      </c>
      <c r="C5" s="18">
        <v>2</v>
      </c>
      <c r="D5" s="18">
        <v>3</v>
      </c>
      <c r="E5" s="18">
        <v>4</v>
      </c>
      <c r="F5" s="18">
        <v>5</v>
      </c>
      <c r="G5" s="18">
        <v>6</v>
      </c>
      <c r="H5" s="18">
        <v>7</v>
      </c>
      <c r="I5" s="18">
        <v>8</v>
      </c>
      <c r="J5" s="18">
        <v>9</v>
      </c>
    </row>
    <row r="6" spans="1:12" x14ac:dyDescent="0.25">
      <c r="B6" t="str" cm="1">
        <f t="array" aca="1" ref="B6:L33" ca="1">_xlfn._xlws.SORT(_xlfn._xlws.FILTER(staff[],staff[Department]=C2),7,-1)</f>
        <v>Lindy Guillet</v>
      </c>
      <c r="C6" t="str">
        <f ca="1"/>
        <v>Male</v>
      </c>
      <c r="D6">
        <f ca="1"/>
        <v>22</v>
      </c>
      <c r="E6" t="str">
        <f ca="1"/>
        <v>Above average</v>
      </c>
      <c r="F6">
        <f ca="1"/>
        <v>44446</v>
      </c>
      <c r="G6" t="str">
        <f ca="1"/>
        <v>Sales</v>
      </c>
      <c r="H6">
        <f ca="1"/>
        <v>112780</v>
      </c>
      <c r="I6" t="str">
        <f ca="1"/>
        <v>NZ</v>
      </c>
      <c r="J6">
        <f ca="1"/>
        <v>1.7808219178082192</v>
      </c>
      <c r="K6">
        <f ca="1"/>
        <v>2256</v>
      </c>
      <c r="L6">
        <f ca="1"/>
        <v>4</v>
      </c>
    </row>
    <row r="7" spans="1:12" x14ac:dyDescent="0.25">
      <c r="B7" t="str">
        <f ca="1"/>
        <v>Krishnakanta Vellanki</v>
      </c>
      <c r="C7" t="str">
        <f ca="1"/>
        <v>Male</v>
      </c>
      <c r="D7">
        <f ca="1"/>
        <v>22</v>
      </c>
      <c r="E7" t="str">
        <f ca="1"/>
        <v>Above average</v>
      </c>
      <c r="F7">
        <f ca="1"/>
        <v>44384</v>
      </c>
      <c r="G7" t="str">
        <f ca="1"/>
        <v>Sales</v>
      </c>
      <c r="H7">
        <f ca="1"/>
        <v>112780</v>
      </c>
      <c r="I7" t="str">
        <f ca="1"/>
        <v>IND</v>
      </c>
      <c r="J7">
        <f ca="1"/>
        <v>1.9506849315068493</v>
      </c>
      <c r="K7">
        <f ca="1"/>
        <v>2256</v>
      </c>
      <c r="L7">
        <f ca="1"/>
        <v>4</v>
      </c>
    </row>
    <row r="8" spans="1:12" x14ac:dyDescent="0.25">
      <c r="B8" t="str">
        <f ca="1"/>
        <v>Rafaelita Blaksland</v>
      </c>
      <c r="C8" t="str">
        <f ca="1"/>
        <v>Female</v>
      </c>
      <c r="D8">
        <f ca="1"/>
        <v>38</v>
      </c>
      <c r="E8" t="str">
        <f ca="1"/>
        <v>Exceptional</v>
      </c>
      <c r="F8">
        <f ca="1"/>
        <v>44377</v>
      </c>
      <c r="G8" t="str">
        <f ca="1"/>
        <v>Sales</v>
      </c>
      <c r="H8">
        <f ca="1"/>
        <v>109160</v>
      </c>
      <c r="I8" t="str">
        <f ca="1"/>
        <v>NZ</v>
      </c>
      <c r="J8">
        <f ca="1"/>
        <v>1.9698630136986301</v>
      </c>
      <c r="K8">
        <f ca="1"/>
        <v>2184</v>
      </c>
      <c r="L8">
        <f ca="1"/>
        <v>5</v>
      </c>
    </row>
    <row r="9" spans="1:12" x14ac:dyDescent="0.25">
      <c r="B9" t="str">
        <f ca="1"/>
        <v>Sawini Chandan</v>
      </c>
      <c r="C9" t="str">
        <f ca="1"/>
        <v>Female</v>
      </c>
      <c r="D9">
        <f ca="1"/>
        <v>38</v>
      </c>
      <c r="E9" t="str">
        <f ca="1"/>
        <v>Exceptional</v>
      </c>
      <c r="F9">
        <f ca="1"/>
        <v>44316</v>
      </c>
      <c r="G9" t="str">
        <f ca="1"/>
        <v>Sales</v>
      </c>
      <c r="H9">
        <f ca="1"/>
        <v>109160</v>
      </c>
      <c r="I9" t="str">
        <f ca="1"/>
        <v>IND</v>
      </c>
      <c r="J9">
        <f ca="1"/>
        <v>2.1369863013698631</v>
      </c>
      <c r="K9">
        <f ca="1"/>
        <v>3275</v>
      </c>
      <c r="L9">
        <f ca="1"/>
        <v>5</v>
      </c>
    </row>
    <row r="10" spans="1:12" x14ac:dyDescent="0.25">
      <c r="B10" t="str">
        <f ca="1"/>
        <v>Hinda Label</v>
      </c>
      <c r="C10" t="str">
        <f ca="1"/>
        <v>Female</v>
      </c>
      <c r="D10">
        <f ca="1"/>
        <v>25</v>
      </c>
      <c r="E10" t="str">
        <f ca="1"/>
        <v>Average</v>
      </c>
      <c r="F10">
        <f ca="1"/>
        <v>44205</v>
      </c>
      <c r="G10" t="str">
        <f ca="1"/>
        <v>Sales</v>
      </c>
      <c r="H10">
        <f ca="1"/>
        <v>92700</v>
      </c>
      <c r="I10" t="str">
        <f ca="1"/>
        <v>NZ</v>
      </c>
      <c r="J10">
        <f ca="1"/>
        <v>2.441095890410959</v>
      </c>
      <c r="K10">
        <f ca="1"/>
        <v>2781</v>
      </c>
      <c r="L10">
        <f ca="1"/>
        <v>3</v>
      </c>
    </row>
    <row r="11" spans="1:12" x14ac:dyDescent="0.25">
      <c r="B11" t="str">
        <f ca="1"/>
        <v>Purnendu Vijayarangan</v>
      </c>
      <c r="C11" t="str">
        <f ca="1"/>
        <v>Female</v>
      </c>
      <c r="D11">
        <f ca="1"/>
        <v>25</v>
      </c>
      <c r="E11" t="str">
        <f ca="1"/>
        <v>Average</v>
      </c>
      <c r="F11">
        <f ca="1"/>
        <v>44144</v>
      </c>
      <c r="G11" t="str">
        <f ca="1"/>
        <v>Sales</v>
      </c>
      <c r="H11">
        <f ca="1"/>
        <v>92700</v>
      </c>
      <c r="I11" t="str">
        <f ca="1"/>
        <v>IND</v>
      </c>
      <c r="J11">
        <f ca="1"/>
        <v>2.6082191780821917</v>
      </c>
      <c r="K11">
        <f ca="1"/>
        <v>2781</v>
      </c>
      <c r="L11">
        <f ca="1"/>
        <v>3</v>
      </c>
    </row>
    <row r="12" spans="1:12" x14ac:dyDescent="0.25">
      <c r="B12" t="str">
        <f ca="1"/>
        <v>Gray Seamon</v>
      </c>
      <c r="C12" t="str">
        <f ca="1"/>
        <v>Female</v>
      </c>
      <c r="D12">
        <f ca="1"/>
        <v>36</v>
      </c>
      <c r="E12" t="str">
        <f ca="1"/>
        <v>Average</v>
      </c>
      <c r="F12">
        <f ca="1"/>
        <v>44494</v>
      </c>
      <c r="G12" t="str">
        <f ca="1"/>
        <v>Sales</v>
      </c>
      <c r="H12">
        <f ca="1"/>
        <v>78540</v>
      </c>
      <c r="I12" t="str">
        <f ca="1"/>
        <v>NZ</v>
      </c>
      <c r="J12">
        <f ca="1"/>
        <v>1.6493150684931508</v>
      </c>
      <c r="K12">
        <f ca="1"/>
        <v>1571</v>
      </c>
      <c r="L12">
        <f ca="1"/>
        <v>3</v>
      </c>
    </row>
    <row r="13" spans="1:12" x14ac:dyDescent="0.25">
      <c r="B13" t="str">
        <f ca="1"/>
        <v>Shulabh Qutub Sundaramoorthy</v>
      </c>
      <c r="C13" t="str">
        <f ca="1"/>
        <v>Female</v>
      </c>
      <c r="D13">
        <f ca="1"/>
        <v>36</v>
      </c>
      <c r="E13" t="str">
        <f ca="1"/>
        <v>Average</v>
      </c>
      <c r="F13">
        <f ca="1"/>
        <v>44433</v>
      </c>
      <c r="G13" t="str">
        <f ca="1"/>
        <v>Sales</v>
      </c>
      <c r="H13">
        <f ca="1"/>
        <v>78540</v>
      </c>
      <c r="I13" t="str">
        <f ca="1"/>
        <v>IND</v>
      </c>
      <c r="J13">
        <f ca="1"/>
        <v>1.8164383561643835</v>
      </c>
      <c r="K13">
        <f ca="1"/>
        <v>1571</v>
      </c>
      <c r="L13">
        <f ca="1"/>
        <v>3</v>
      </c>
    </row>
    <row r="14" spans="1:12" x14ac:dyDescent="0.25">
      <c r="B14" t="str">
        <f ca="1"/>
        <v>Gigi Bohling</v>
      </c>
      <c r="C14" t="str">
        <f ca="1"/>
        <v>Male</v>
      </c>
      <c r="D14">
        <f ca="1"/>
        <v>33</v>
      </c>
      <c r="E14" t="str">
        <f ca="1"/>
        <v>Average</v>
      </c>
      <c r="F14">
        <f ca="1"/>
        <v>44385</v>
      </c>
      <c r="G14" t="str">
        <f ca="1"/>
        <v>Sales</v>
      </c>
      <c r="H14">
        <f ca="1"/>
        <v>74550</v>
      </c>
      <c r="I14" t="str">
        <f ca="1"/>
        <v>NZ</v>
      </c>
      <c r="J14">
        <f ca="1"/>
        <v>1.9479452054794522</v>
      </c>
      <c r="K14">
        <f ca="1"/>
        <v>1491</v>
      </c>
      <c r="L14">
        <f ca="1"/>
        <v>3</v>
      </c>
    </row>
    <row r="15" spans="1:12" x14ac:dyDescent="0.25">
      <c r="B15" t="str">
        <f ca="1"/>
        <v>Yauvani Tarpa</v>
      </c>
      <c r="C15" t="str">
        <f ca="1"/>
        <v>Male</v>
      </c>
      <c r="D15">
        <f ca="1"/>
        <v>33</v>
      </c>
      <c r="E15" t="str">
        <f ca="1"/>
        <v>Average</v>
      </c>
      <c r="F15">
        <f ca="1"/>
        <v>44324</v>
      </c>
      <c r="G15" t="str">
        <f ca="1"/>
        <v>Sales</v>
      </c>
      <c r="H15">
        <f ca="1"/>
        <v>74550</v>
      </c>
      <c r="I15" t="str">
        <f ca="1"/>
        <v>IND</v>
      </c>
      <c r="J15">
        <f ca="1"/>
        <v>2.1150684931506851</v>
      </c>
      <c r="K15">
        <f ca="1"/>
        <v>2237</v>
      </c>
      <c r="L15">
        <f ca="1"/>
        <v>3</v>
      </c>
    </row>
    <row r="16" spans="1:12" x14ac:dyDescent="0.25">
      <c r="B16" t="str">
        <f ca="1"/>
        <v>Hyacinthie Braybrooke</v>
      </c>
      <c r="C16" t="str">
        <f ca="1"/>
        <v>Female</v>
      </c>
      <c r="D16">
        <f ca="1"/>
        <v>20</v>
      </c>
      <c r="E16" t="str">
        <f ca="1"/>
        <v>Poor</v>
      </c>
      <c r="F16">
        <f ca="1"/>
        <v>44537</v>
      </c>
      <c r="G16" t="str">
        <f ca="1"/>
        <v>Sales</v>
      </c>
      <c r="H16">
        <f ca="1"/>
        <v>68900</v>
      </c>
      <c r="I16" t="str">
        <f ca="1"/>
        <v>NZ</v>
      </c>
      <c r="J16">
        <f ca="1"/>
        <v>1.5315068493150685</v>
      </c>
      <c r="K16">
        <f ca="1"/>
        <v>1378</v>
      </c>
      <c r="L16">
        <f ca="1"/>
        <v>2</v>
      </c>
    </row>
    <row r="17" spans="2:12" x14ac:dyDescent="0.25">
      <c r="B17" t="str">
        <f ca="1"/>
        <v>Devasree Fullara Saurin</v>
      </c>
      <c r="C17" t="str">
        <f ca="1"/>
        <v>Female</v>
      </c>
      <c r="D17">
        <f ca="1"/>
        <v>20</v>
      </c>
      <c r="E17" t="str">
        <f ca="1"/>
        <v>Poor</v>
      </c>
      <c r="F17">
        <f ca="1"/>
        <v>44476</v>
      </c>
      <c r="G17" t="str">
        <f ca="1"/>
        <v>Sales</v>
      </c>
      <c r="H17">
        <f ca="1"/>
        <v>68900</v>
      </c>
      <c r="I17" t="str">
        <f ca="1"/>
        <v>IND</v>
      </c>
      <c r="J17">
        <f ca="1"/>
        <v>1.6986301369863013</v>
      </c>
      <c r="K17">
        <f ca="1"/>
        <v>1378</v>
      </c>
      <c r="L17">
        <f ca="1"/>
        <v>2</v>
      </c>
    </row>
    <row r="18" spans="2:12" x14ac:dyDescent="0.25">
      <c r="B18" t="str">
        <f ca="1"/>
        <v>Kath Bletsoe</v>
      </c>
      <c r="C18" t="str">
        <f ca="1"/>
        <v>Male</v>
      </c>
      <c r="D18">
        <f ca="1"/>
        <v>25</v>
      </c>
      <c r="E18" t="str">
        <f ca="1"/>
        <v>Average</v>
      </c>
      <c r="F18">
        <f ca="1"/>
        <v>44383</v>
      </c>
      <c r="G18" t="str">
        <f ca="1"/>
        <v>Sales</v>
      </c>
      <c r="H18">
        <f ca="1"/>
        <v>65700</v>
      </c>
      <c r="I18" t="str">
        <f ca="1"/>
        <v>NZ</v>
      </c>
      <c r="J18">
        <f ca="1"/>
        <v>1.9534246575342467</v>
      </c>
      <c r="K18">
        <f ca="1"/>
        <v>1314</v>
      </c>
      <c r="L18">
        <f ca="1"/>
        <v>3</v>
      </c>
    </row>
    <row r="19" spans="2:12" x14ac:dyDescent="0.25">
      <c r="B19" t="str">
        <f ca="1"/>
        <v>Abhaya Priyavardhan</v>
      </c>
      <c r="C19" t="str">
        <f ca="1"/>
        <v>Male</v>
      </c>
      <c r="D19">
        <f ca="1"/>
        <v>25</v>
      </c>
      <c r="E19" t="str">
        <f ca="1"/>
        <v>Average</v>
      </c>
      <c r="F19">
        <f ca="1"/>
        <v>44322</v>
      </c>
      <c r="G19" t="str">
        <f ca="1"/>
        <v>Sales</v>
      </c>
      <c r="H19">
        <f ca="1"/>
        <v>65700</v>
      </c>
      <c r="I19" t="str">
        <f ca="1"/>
        <v>IND</v>
      </c>
      <c r="J19">
        <f ca="1"/>
        <v>2.1205479452054794</v>
      </c>
      <c r="K19">
        <f ca="1"/>
        <v>1971</v>
      </c>
      <c r="L19">
        <f ca="1"/>
        <v>3</v>
      </c>
    </row>
    <row r="20" spans="2:12" x14ac:dyDescent="0.25">
      <c r="B20" t="str">
        <f ca="1"/>
        <v>Oran Buxcy</v>
      </c>
      <c r="C20" t="str">
        <f ca="1"/>
        <v>Female</v>
      </c>
      <c r="D20">
        <f ca="1"/>
        <v>38</v>
      </c>
      <c r="E20" t="str">
        <f ca="1"/>
        <v>Above average</v>
      </c>
      <c r="F20">
        <f ca="1"/>
        <v>44329</v>
      </c>
      <c r="G20" t="str">
        <f ca="1"/>
        <v>Sales</v>
      </c>
      <c r="H20">
        <f ca="1"/>
        <v>56870</v>
      </c>
      <c r="I20" t="str">
        <f ca="1"/>
        <v>NZ</v>
      </c>
      <c r="J20">
        <f ca="1"/>
        <v>2.1013698630136988</v>
      </c>
      <c r="K20">
        <f ca="1"/>
        <v>1707</v>
      </c>
      <c r="L20">
        <f ca="1"/>
        <v>4</v>
      </c>
    </row>
    <row r="21" spans="2:12" x14ac:dyDescent="0.25">
      <c r="B21" t="str">
        <f ca="1"/>
        <v>Mirium Seemantini Shivakumar</v>
      </c>
      <c r="C21" t="str">
        <f ca="1"/>
        <v>Female</v>
      </c>
      <c r="D21">
        <f ca="1"/>
        <v>38</v>
      </c>
      <c r="E21" t="str">
        <f ca="1"/>
        <v>Above average</v>
      </c>
      <c r="F21">
        <f ca="1"/>
        <v>44268</v>
      </c>
      <c r="G21" t="str">
        <f ca="1"/>
        <v>Sales</v>
      </c>
      <c r="H21">
        <f ca="1"/>
        <v>56870</v>
      </c>
      <c r="I21" t="str">
        <f ca="1"/>
        <v>IND</v>
      </c>
      <c r="J21">
        <f ca="1"/>
        <v>2.2684931506849315</v>
      </c>
      <c r="K21">
        <f ca="1"/>
        <v>1707</v>
      </c>
      <c r="L21">
        <f ca="1"/>
        <v>4</v>
      </c>
    </row>
    <row r="22" spans="2:12" x14ac:dyDescent="0.25">
      <c r="B22" t="str">
        <f ca="1"/>
        <v>Alta Kaszper</v>
      </c>
      <c r="C22" t="str">
        <f ca="1"/>
        <v>Male</v>
      </c>
      <c r="D22">
        <f ca="1"/>
        <v>27</v>
      </c>
      <c r="E22" t="str">
        <f ca="1"/>
        <v>Average</v>
      </c>
      <c r="F22">
        <f ca="1"/>
        <v>44134</v>
      </c>
      <c r="G22" t="str">
        <f ca="1"/>
        <v>Sales</v>
      </c>
      <c r="H22">
        <f ca="1"/>
        <v>54970</v>
      </c>
      <c r="I22" t="str">
        <f ca="1"/>
        <v>NZ</v>
      </c>
      <c r="J22">
        <f ca="1"/>
        <v>2.6356164383561644</v>
      </c>
      <c r="K22">
        <f ca="1"/>
        <v>1650</v>
      </c>
      <c r="L22">
        <f ca="1"/>
        <v>3</v>
      </c>
    </row>
    <row r="23" spans="2:12" x14ac:dyDescent="0.25">
      <c r="B23" t="str">
        <f ca="1"/>
        <v>Sanchali Shirish</v>
      </c>
      <c r="C23" t="str">
        <f ca="1"/>
        <v>Male</v>
      </c>
      <c r="D23">
        <f ca="1"/>
        <v>27</v>
      </c>
      <c r="E23" t="str">
        <f ca="1"/>
        <v>Average</v>
      </c>
      <c r="F23">
        <f ca="1"/>
        <v>44073</v>
      </c>
      <c r="G23" t="str">
        <f ca="1"/>
        <v>Sales</v>
      </c>
      <c r="H23">
        <f ca="1"/>
        <v>54970</v>
      </c>
      <c r="I23" t="str">
        <f ca="1"/>
        <v>IND</v>
      </c>
      <c r="J23">
        <f ca="1"/>
        <v>2.8027397260273972</v>
      </c>
      <c r="K23">
        <f ca="1"/>
        <v>1650</v>
      </c>
      <c r="L23">
        <f ca="1"/>
        <v>3</v>
      </c>
    </row>
    <row r="24" spans="2:12" x14ac:dyDescent="0.25">
      <c r="B24" t="str">
        <f ca="1"/>
        <v>Hoyt D'Alesco</v>
      </c>
      <c r="C24" t="str">
        <f ca="1"/>
        <v>Male</v>
      </c>
      <c r="D24">
        <f ca="1"/>
        <v>32</v>
      </c>
      <c r="E24" t="str">
        <f ca="1"/>
        <v>Average</v>
      </c>
      <c r="F24">
        <f ca="1"/>
        <v>44465</v>
      </c>
      <c r="G24" t="str">
        <f ca="1"/>
        <v>Sales</v>
      </c>
      <c r="H24">
        <f ca="1"/>
        <v>53540</v>
      </c>
      <c r="I24" t="str">
        <f ca="1"/>
        <v>NZ</v>
      </c>
      <c r="J24">
        <f ca="1"/>
        <v>1.7287671232876711</v>
      </c>
      <c r="K24">
        <f ca="1"/>
        <v>1071</v>
      </c>
      <c r="L24">
        <f ca="1"/>
        <v>3</v>
      </c>
    </row>
    <row r="25" spans="2:12" x14ac:dyDescent="0.25">
      <c r="B25" t="str">
        <f ca="1"/>
        <v>Geena Raghavanpillai</v>
      </c>
      <c r="C25" t="str">
        <f ca="1"/>
        <v>Male</v>
      </c>
      <c r="D25">
        <f ca="1"/>
        <v>32</v>
      </c>
      <c r="E25" t="str">
        <f ca="1"/>
        <v>Average</v>
      </c>
      <c r="F25">
        <f ca="1"/>
        <v>44403</v>
      </c>
      <c r="G25" t="str">
        <f ca="1"/>
        <v>Sales</v>
      </c>
      <c r="H25">
        <f ca="1"/>
        <v>53540</v>
      </c>
      <c r="I25" t="str">
        <f ca="1"/>
        <v>IND</v>
      </c>
      <c r="J25">
        <f ca="1"/>
        <v>1.8986301369863015</v>
      </c>
      <c r="K25">
        <f ca="1"/>
        <v>1071</v>
      </c>
      <c r="L25">
        <f ca="1"/>
        <v>3</v>
      </c>
    </row>
    <row r="26" spans="2:12" x14ac:dyDescent="0.25">
      <c r="B26" t="str">
        <f ca="1"/>
        <v>Tatum Hush</v>
      </c>
      <c r="C26" t="str">
        <f ca="1"/>
        <v>Female</v>
      </c>
      <c r="D26">
        <f ca="1"/>
        <v>28</v>
      </c>
      <c r="E26" t="str">
        <f ca="1"/>
        <v>Average</v>
      </c>
      <c r="F26">
        <f ca="1"/>
        <v>44357</v>
      </c>
      <c r="G26" t="str">
        <f ca="1"/>
        <v>Sales</v>
      </c>
      <c r="H26">
        <f ca="1"/>
        <v>53240</v>
      </c>
      <c r="I26" t="str">
        <f ca="1"/>
        <v>NZ</v>
      </c>
      <c r="J26">
        <f ca="1"/>
        <v>2.0246575342465754</v>
      </c>
      <c r="K26">
        <f ca="1"/>
        <v>1598</v>
      </c>
      <c r="L26">
        <f ca="1"/>
        <v>3</v>
      </c>
    </row>
    <row r="27" spans="2:12" x14ac:dyDescent="0.25">
      <c r="B27" t="str">
        <f ca="1"/>
        <v>Anumati Shyamari Meherhomji</v>
      </c>
      <c r="C27" t="str">
        <f ca="1"/>
        <v>Female</v>
      </c>
      <c r="D27">
        <f ca="1"/>
        <v>28</v>
      </c>
      <c r="E27" t="str">
        <f ca="1"/>
        <v>Average</v>
      </c>
      <c r="F27">
        <f ca="1"/>
        <v>44296</v>
      </c>
      <c r="G27" t="str">
        <f ca="1"/>
        <v>Sales</v>
      </c>
      <c r="H27">
        <f ca="1"/>
        <v>53240</v>
      </c>
      <c r="I27" t="str">
        <f ca="1"/>
        <v>IND</v>
      </c>
      <c r="J27">
        <f ca="1"/>
        <v>2.1917808219178081</v>
      </c>
      <c r="K27">
        <f ca="1"/>
        <v>1598</v>
      </c>
      <c r="L27">
        <f ca="1"/>
        <v>3</v>
      </c>
    </row>
    <row r="28" spans="2:12" x14ac:dyDescent="0.25">
      <c r="B28" t="str">
        <f ca="1"/>
        <v>Violante Courtonne</v>
      </c>
      <c r="C28" t="str">
        <f ca="1"/>
        <v>Female</v>
      </c>
      <c r="D28">
        <f ca="1"/>
        <v>34</v>
      </c>
      <c r="E28" t="str">
        <f ca="1"/>
        <v>Poor</v>
      </c>
      <c r="F28">
        <f ca="1"/>
        <v>44721</v>
      </c>
      <c r="G28" t="str">
        <f ca="1"/>
        <v>Sales</v>
      </c>
      <c r="H28">
        <f ca="1"/>
        <v>49630</v>
      </c>
      <c r="I28" t="str">
        <f ca="1"/>
        <v>NZ</v>
      </c>
      <c r="J28">
        <f ca="1"/>
        <v>1.0273972602739727</v>
      </c>
      <c r="K28">
        <f ca="1"/>
        <v>993</v>
      </c>
      <c r="L28">
        <f ca="1"/>
        <v>2</v>
      </c>
    </row>
    <row r="29" spans="2:12" x14ac:dyDescent="0.25">
      <c r="B29" t="str">
        <f ca="1"/>
        <v>Daruka Ghazali</v>
      </c>
      <c r="C29" t="str">
        <f ca="1"/>
        <v>Female</v>
      </c>
      <c r="D29">
        <f ca="1"/>
        <v>34</v>
      </c>
      <c r="E29" t="str">
        <f ca="1"/>
        <v>Poor</v>
      </c>
      <c r="F29">
        <f ca="1"/>
        <v>44660</v>
      </c>
      <c r="G29" t="str">
        <f ca="1"/>
        <v>Sales</v>
      </c>
      <c r="H29">
        <f ca="1"/>
        <v>49630</v>
      </c>
      <c r="I29" t="str">
        <f ca="1"/>
        <v>IND</v>
      </c>
      <c r="J29">
        <f ca="1"/>
        <v>1.1945205479452055</v>
      </c>
      <c r="K29">
        <f ca="1"/>
        <v>993</v>
      </c>
      <c r="L29">
        <f ca="1"/>
        <v>2</v>
      </c>
    </row>
    <row r="30" spans="2:12" x14ac:dyDescent="0.25">
      <c r="B30" t="str">
        <f ca="1"/>
        <v>Drusy MacCombe</v>
      </c>
      <c r="C30" t="str">
        <f ca="1"/>
        <v>Male</v>
      </c>
      <c r="D30">
        <f ca="1"/>
        <v>28</v>
      </c>
      <c r="E30" t="str">
        <f ca="1"/>
        <v>Very poor</v>
      </c>
      <c r="F30">
        <f ca="1"/>
        <v>44820</v>
      </c>
      <c r="G30" t="str">
        <f ca="1"/>
        <v>Sales</v>
      </c>
      <c r="H30">
        <f ca="1"/>
        <v>43510</v>
      </c>
      <c r="I30" t="str">
        <f ca="1"/>
        <v>NZ</v>
      </c>
      <c r="J30">
        <f ca="1"/>
        <v>0.75616438356164384</v>
      </c>
      <c r="K30">
        <f ca="1"/>
        <v>871</v>
      </c>
      <c r="L30">
        <f ca="1"/>
        <v>1</v>
      </c>
    </row>
    <row r="31" spans="2:12" x14ac:dyDescent="0.25">
      <c r="B31" t="str">
        <f ca="1"/>
        <v>Rupak Mehra</v>
      </c>
      <c r="C31" t="str">
        <f ca="1"/>
        <v>Male</v>
      </c>
      <c r="D31">
        <f ca="1"/>
        <v>28</v>
      </c>
      <c r="E31" t="str">
        <f ca="1"/>
        <v>Very poor</v>
      </c>
      <c r="F31">
        <f ca="1"/>
        <v>44758</v>
      </c>
      <c r="G31" t="str">
        <f ca="1"/>
        <v>Sales</v>
      </c>
      <c r="H31">
        <f ca="1"/>
        <v>43510</v>
      </c>
      <c r="I31" t="str">
        <f ca="1"/>
        <v>IND</v>
      </c>
      <c r="J31">
        <f ca="1"/>
        <v>0.92602739726027394</v>
      </c>
      <c r="K31">
        <f ca="1"/>
        <v>871</v>
      </c>
      <c r="L31">
        <f ca="1"/>
        <v>1</v>
      </c>
    </row>
    <row r="32" spans="2:12" x14ac:dyDescent="0.25">
      <c r="B32" t="str">
        <f ca="1"/>
        <v>Bili Sizey</v>
      </c>
      <c r="C32" t="str">
        <f ca="1"/>
        <v>Male</v>
      </c>
      <c r="D32">
        <f ca="1"/>
        <v>43</v>
      </c>
      <c r="E32" t="str">
        <f ca="1"/>
        <v>Average</v>
      </c>
      <c r="F32">
        <f ca="1"/>
        <v>44620</v>
      </c>
      <c r="G32" t="str">
        <f ca="1"/>
        <v>Sales</v>
      </c>
      <c r="H32">
        <f ca="1"/>
        <v>36040</v>
      </c>
      <c r="I32" t="str">
        <f ca="1"/>
        <v>NZ</v>
      </c>
      <c r="J32">
        <f ca="1"/>
        <v>1.3041095890410959</v>
      </c>
      <c r="K32">
        <f ca="1"/>
        <v>721</v>
      </c>
      <c r="L32">
        <f ca="1"/>
        <v>3</v>
      </c>
    </row>
    <row r="33" spans="2:12" x14ac:dyDescent="0.25">
      <c r="B33" t="str">
        <f ca="1"/>
        <v>Waheeda Vasuman</v>
      </c>
      <c r="C33" t="str">
        <f ca="1"/>
        <v>Male</v>
      </c>
      <c r="D33">
        <f ca="1"/>
        <v>43</v>
      </c>
      <c r="E33" t="str">
        <f ca="1"/>
        <v>Average</v>
      </c>
      <c r="F33">
        <f ca="1"/>
        <v>44558</v>
      </c>
      <c r="G33" t="str">
        <f ca="1"/>
        <v>Sales</v>
      </c>
      <c r="H33">
        <f ca="1"/>
        <v>36040</v>
      </c>
      <c r="I33" t="str">
        <f ca="1"/>
        <v>IND</v>
      </c>
      <c r="J33">
        <f ca="1"/>
        <v>1.473972602739726</v>
      </c>
      <c r="K33">
        <f ca="1"/>
        <v>721</v>
      </c>
      <c r="L33">
        <f ca="1"/>
        <v>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6204-9B86-43DA-8981-C56484FDF94E}">
  <dimension ref="A1:D8"/>
  <sheetViews>
    <sheetView workbookViewId="0"/>
  </sheetViews>
  <sheetFormatPr defaultRowHeight="15" x14ac:dyDescent="0.25"/>
  <cols>
    <col min="1" max="1" width="22.28515625" bestFit="1" customWidth="1"/>
    <col min="2" max="2" width="17.5703125" bestFit="1" customWidth="1"/>
    <col min="3" max="3" width="16.28515625" bestFit="1" customWidth="1"/>
    <col min="4" max="4" width="8.5703125" bestFit="1" customWidth="1"/>
    <col min="5" max="5" width="12" bestFit="1" customWidth="1"/>
    <col min="6" max="6" width="14.5703125" bestFit="1" customWidth="1"/>
    <col min="7" max="7" width="14.42578125" bestFit="1" customWidth="1"/>
    <col min="8" max="22" width="3" bestFit="1" customWidth="1"/>
    <col min="23" max="23" width="7.42578125" bestFit="1" customWidth="1"/>
    <col min="24" max="45" width="3" bestFit="1" customWidth="1"/>
    <col min="46" max="46" width="8" bestFit="1" customWidth="1"/>
    <col min="47" max="50" width="3" bestFit="1" customWidth="1"/>
  </cols>
  <sheetData>
    <row r="1" spans="1:4" ht="18.75" x14ac:dyDescent="0.3">
      <c r="A1" s="38" t="s">
        <v>219</v>
      </c>
    </row>
    <row r="3" spans="1:4" x14ac:dyDescent="0.25">
      <c r="C3" s="19" t="s">
        <v>220</v>
      </c>
    </row>
    <row r="4" spans="1:4" x14ac:dyDescent="0.25">
      <c r="B4" s="19" t="s">
        <v>223</v>
      </c>
      <c r="C4" t="s">
        <v>8</v>
      </c>
      <c r="D4" t="s">
        <v>15</v>
      </c>
    </row>
    <row r="5" spans="1:4" x14ac:dyDescent="0.25">
      <c r="B5" s="13" t="s">
        <v>221</v>
      </c>
      <c r="C5" s="20">
        <v>86</v>
      </c>
      <c r="D5" s="20">
        <v>89</v>
      </c>
    </row>
    <row r="6" spans="1:4" x14ac:dyDescent="0.25">
      <c r="B6" s="13" t="s">
        <v>222</v>
      </c>
      <c r="C6" s="7">
        <v>31.406976744186046</v>
      </c>
      <c r="D6" s="7">
        <v>29.393258426966291</v>
      </c>
    </row>
    <row r="7" spans="1:4" x14ac:dyDescent="0.25">
      <c r="B7" s="13" t="s">
        <v>225</v>
      </c>
      <c r="C7" s="7">
        <v>78284.186046511633</v>
      </c>
      <c r="D7" s="7">
        <v>74915.168539325838</v>
      </c>
    </row>
    <row r="8" spans="1:4" x14ac:dyDescent="0.25">
      <c r="B8" s="13" t="s">
        <v>224</v>
      </c>
      <c r="C8" s="7">
        <v>1.8161834979292768</v>
      </c>
      <c r="D8" s="7">
        <v>1.8070801908573189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99816-6D3C-449B-9C9F-19B67B7C7F9F}">
  <dimension ref="A1"/>
  <sheetViews>
    <sheetView showGridLines="0" workbookViewId="0">
      <selection activeCell="K3" sqref="K3"/>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D1C3-8289-40CA-BED3-AC3EE8653AE7}">
  <dimension ref="B4:D16"/>
  <sheetViews>
    <sheetView workbookViewId="0">
      <selection activeCell="F3" sqref="F3"/>
    </sheetView>
  </sheetViews>
  <sheetFormatPr defaultRowHeight="15" x14ac:dyDescent="0.25"/>
  <cols>
    <col min="2" max="2" width="14.28515625" bestFit="1" customWidth="1"/>
    <col min="3" max="3" width="14.42578125" bestFit="1" customWidth="1"/>
    <col min="4" max="4" width="16.42578125" bestFit="1" customWidth="1"/>
  </cols>
  <sheetData>
    <row r="4" spans="2:4" x14ac:dyDescent="0.25">
      <c r="B4" s="19" t="s">
        <v>227</v>
      </c>
      <c r="C4" t="s">
        <v>221</v>
      </c>
      <c r="D4" s="5" t="s">
        <v>225</v>
      </c>
    </row>
    <row r="5" spans="2:4" x14ac:dyDescent="0.25">
      <c r="B5" s="13" t="s">
        <v>10</v>
      </c>
      <c r="C5" s="20">
        <v>4</v>
      </c>
      <c r="D5" s="5">
        <v>92080</v>
      </c>
    </row>
    <row r="6" spans="2:4" x14ac:dyDescent="0.25">
      <c r="B6" s="13" t="s">
        <v>13</v>
      </c>
      <c r="C6" s="20">
        <v>20</v>
      </c>
      <c r="D6" s="5">
        <v>75933</v>
      </c>
    </row>
    <row r="7" spans="2:4" x14ac:dyDescent="0.25">
      <c r="B7" s="13" t="s">
        <v>16</v>
      </c>
      <c r="C7" s="20">
        <v>137</v>
      </c>
      <c r="D7" s="5">
        <v>76798.759124087592</v>
      </c>
    </row>
    <row r="8" spans="2:4" x14ac:dyDescent="0.25">
      <c r="B8" s="13" t="s">
        <v>24</v>
      </c>
      <c r="C8" s="20">
        <v>16</v>
      </c>
      <c r="D8" s="5">
        <v>78115</v>
      </c>
    </row>
    <row r="9" spans="2:4" x14ac:dyDescent="0.25">
      <c r="B9" s="13" t="s">
        <v>42</v>
      </c>
      <c r="C9" s="20">
        <v>6</v>
      </c>
      <c r="D9" s="5">
        <v>77423.333333333328</v>
      </c>
    </row>
    <row r="10" spans="2:4" x14ac:dyDescent="0.25">
      <c r="B10" s="13" t="s">
        <v>228</v>
      </c>
      <c r="C10" s="20">
        <v>183</v>
      </c>
      <c r="D10" s="5">
        <v>77173.715846994543</v>
      </c>
    </row>
    <row r="12" spans="2:4" x14ac:dyDescent="0.25">
      <c r="B12" s="21" t="s">
        <v>10</v>
      </c>
      <c r="C12" s="22">
        <v>5</v>
      </c>
    </row>
    <row r="13" spans="2:4" x14ac:dyDescent="0.25">
      <c r="B13" s="21" t="s">
        <v>13</v>
      </c>
      <c r="C13" s="22">
        <v>4</v>
      </c>
    </row>
    <row r="14" spans="2:4" x14ac:dyDescent="0.25">
      <c r="B14" s="21" t="s">
        <v>16</v>
      </c>
      <c r="C14" s="22">
        <v>3</v>
      </c>
    </row>
    <row r="15" spans="2:4" x14ac:dyDescent="0.25">
      <c r="B15" s="21" t="s">
        <v>24</v>
      </c>
      <c r="C15" s="22">
        <v>2</v>
      </c>
    </row>
    <row r="16" spans="2:4" x14ac:dyDescent="0.25">
      <c r="B16" s="21" t="s">
        <v>42</v>
      </c>
      <c r="C16" s="22">
        <v>1</v>
      </c>
    </row>
  </sheetData>
  <conditionalFormatting pivot="1" sqref="D5:D10">
    <cfRule type="dataBar" priority="1">
      <dataBar>
        <cfvo type="min"/>
        <cfvo type="max"/>
        <color rgb="FF638EC6"/>
      </dataBar>
      <extLst>
        <ext xmlns:x14="http://schemas.microsoft.com/office/spreadsheetml/2009/9/main" uri="{B025F937-C7B1-47D3-B67F-A62EFF666E3E}">
          <x14:id>{B41E06C0-1BF1-472F-B854-6267FA4FF3B7}</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B41E06C0-1BF1-472F-B854-6267FA4FF3B7}">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F571-2E27-4241-A784-E30CCDD264A6}">
  <dimension ref="A1:Q39"/>
  <sheetViews>
    <sheetView workbookViewId="0">
      <selection activeCell="S5" sqref="S5"/>
    </sheetView>
  </sheetViews>
  <sheetFormatPr defaultRowHeight="15" x14ac:dyDescent="0.25"/>
  <cols>
    <col min="1" max="1" width="13.140625" bestFit="1" customWidth="1"/>
    <col min="2" max="2" width="14.42578125" bestFit="1" customWidth="1"/>
    <col min="17" max="17" width="13.28515625" bestFit="1" customWidth="1"/>
    <col min="18" max="19" width="10.85546875" bestFit="1" customWidth="1"/>
    <col min="20" max="20" width="13.28515625" bestFit="1" customWidth="1"/>
  </cols>
  <sheetData>
    <row r="1" spans="1:17" x14ac:dyDescent="0.25">
      <c r="A1" s="19" t="s">
        <v>227</v>
      </c>
      <c r="B1" t="s">
        <v>221</v>
      </c>
    </row>
    <row r="2" spans="1:17" x14ac:dyDescent="0.25">
      <c r="A2" s="13" t="s">
        <v>230</v>
      </c>
      <c r="B2" s="20"/>
    </row>
    <row r="3" spans="1:17" x14ac:dyDescent="0.25">
      <c r="A3" s="23" t="s">
        <v>231</v>
      </c>
      <c r="B3" s="20">
        <v>3</v>
      </c>
      <c r="N3" s="26"/>
      <c r="O3" s="26" t="s">
        <v>246</v>
      </c>
      <c r="P3" s="26" t="s">
        <v>247</v>
      </c>
      <c r="Q3" s="26" t="s">
        <v>248</v>
      </c>
    </row>
    <row r="4" spans="1:17" x14ac:dyDescent="0.25">
      <c r="A4" s="23" t="s">
        <v>232</v>
      </c>
      <c r="B4" s="20">
        <v>4</v>
      </c>
      <c r="N4" s="24" cm="1">
        <f t="array" ref="N4:N39">_xlfn.SEQUENCE(36)</f>
        <v>1</v>
      </c>
      <c r="O4" s="25" cm="1">
        <f t="array" ref="O4:O39">EDATE(DATE(2020,4,1),_xlfn.ANCHORARRAY(N4)+0)</f>
        <v>43952</v>
      </c>
      <c r="P4" s="24">
        <f>COUNTIFS(staff[Date Joined],"&gt;="&amp;O4,staff[Date Joined],"&lt;="&amp;EOMONTH(O4,0))</f>
        <v>3</v>
      </c>
      <c r="Q4" s="24">
        <f>SUM($P$4:P4)</f>
        <v>3</v>
      </c>
    </row>
    <row r="5" spans="1:17" x14ac:dyDescent="0.25">
      <c r="A5" s="23" t="s">
        <v>233</v>
      </c>
      <c r="B5" s="20">
        <v>9</v>
      </c>
      <c r="N5" s="24">
        <v>2</v>
      </c>
      <c r="O5" s="25">
        <v>43983</v>
      </c>
      <c r="P5" s="24">
        <f>COUNTIFS(staff[Date Joined],"&gt;="&amp;O5,staff[Date Joined],"&lt;="&amp;EOMONTH(O5,0))</f>
        <v>1</v>
      </c>
      <c r="Q5" s="24">
        <f>SUM($P$4:P5)</f>
        <v>4</v>
      </c>
    </row>
    <row r="6" spans="1:17" x14ac:dyDescent="0.25">
      <c r="A6" s="23" t="s">
        <v>234</v>
      </c>
      <c r="B6" s="20">
        <v>12</v>
      </c>
      <c r="N6" s="24">
        <v>3</v>
      </c>
      <c r="O6" s="25">
        <v>44013</v>
      </c>
      <c r="P6" s="24">
        <f>COUNTIFS(staff[Date Joined],"&gt;="&amp;O6,staff[Date Joined],"&lt;="&amp;EOMONTH(O6,0))</f>
        <v>5</v>
      </c>
      <c r="Q6" s="24">
        <f>SUM($P$4:P6)</f>
        <v>9</v>
      </c>
    </row>
    <row r="7" spans="1:17" x14ac:dyDescent="0.25">
      <c r="A7" s="23" t="s">
        <v>235</v>
      </c>
      <c r="B7" s="20">
        <v>18</v>
      </c>
      <c r="N7" s="24">
        <v>4</v>
      </c>
      <c r="O7" s="25">
        <v>44044</v>
      </c>
      <c r="P7" s="24">
        <f>COUNTIFS(staff[Date Joined],"&gt;="&amp;O7,staff[Date Joined],"&lt;="&amp;EOMONTH(O7,0))</f>
        <v>3</v>
      </c>
      <c r="Q7" s="24">
        <f>SUM($P$4:P7)</f>
        <v>12</v>
      </c>
    </row>
    <row r="8" spans="1:17" x14ac:dyDescent="0.25">
      <c r="A8" s="23" t="s">
        <v>236</v>
      </c>
      <c r="B8" s="20">
        <v>24</v>
      </c>
      <c r="N8" s="24">
        <v>5</v>
      </c>
      <c r="O8" s="25">
        <v>44075</v>
      </c>
      <c r="P8" s="24">
        <f>COUNTIFS(staff[Date Joined],"&gt;="&amp;O8,staff[Date Joined],"&lt;="&amp;EOMONTH(O8,0))</f>
        <v>6</v>
      </c>
      <c r="Q8" s="24">
        <f>SUM($P$4:P8)</f>
        <v>18</v>
      </c>
    </row>
    <row r="9" spans="1:17" x14ac:dyDescent="0.25">
      <c r="A9" s="23" t="s">
        <v>237</v>
      </c>
      <c r="B9" s="20">
        <v>30</v>
      </c>
      <c r="N9" s="24">
        <v>6</v>
      </c>
      <c r="O9" s="25">
        <v>44105</v>
      </c>
      <c r="P9" s="24">
        <f>COUNTIFS(staff[Date Joined],"&gt;="&amp;O9,staff[Date Joined],"&lt;="&amp;EOMONTH(O9,0))</f>
        <v>6</v>
      </c>
      <c r="Q9" s="24">
        <f>SUM($P$4:P9)</f>
        <v>24</v>
      </c>
    </row>
    <row r="10" spans="1:17" x14ac:dyDescent="0.25">
      <c r="A10" s="23" t="s">
        <v>238</v>
      </c>
      <c r="B10" s="20">
        <v>37</v>
      </c>
      <c r="N10" s="24">
        <v>7</v>
      </c>
      <c r="O10" s="25">
        <v>44136</v>
      </c>
      <c r="P10" s="24">
        <f>COUNTIFS(staff[Date Joined],"&gt;="&amp;O10,staff[Date Joined],"&lt;="&amp;EOMONTH(O10,0))</f>
        <v>6</v>
      </c>
      <c r="Q10" s="24">
        <f>SUM($P$4:P10)</f>
        <v>30</v>
      </c>
    </row>
    <row r="11" spans="1:17" x14ac:dyDescent="0.25">
      <c r="A11" s="13" t="s">
        <v>239</v>
      </c>
      <c r="B11" s="20"/>
      <c r="N11" s="24">
        <v>8</v>
      </c>
      <c r="O11" s="25">
        <v>44166</v>
      </c>
      <c r="P11" s="24">
        <f>COUNTIFS(staff[Date Joined],"&gt;="&amp;O11,staff[Date Joined],"&lt;="&amp;EOMONTH(O11,0))</f>
        <v>7</v>
      </c>
      <c r="Q11" s="24">
        <f>SUM($P$4:P11)</f>
        <v>37</v>
      </c>
    </row>
    <row r="12" spans="1:17" x14ac:dyDescent="0.25">
      <c r="A12" s="23" t="s">
        <v>240</v>
      </c>
      <c r="B12" s="20">
        <v>6</v>
      </c>
      <c r="N12" s="24">
        <v>9</v>
      </c>
      <c r="O12" s="25">
        <v>44197</v>
      </c>
      <c r="P12" s="24">
        <f>COUNTIFS(staff[Date Joined],"&gt;="&amp;O12,staff[Date Joined],"&lt;="&amp;EOMONTH(O12,0))</f>
        <v>6</v>
      </c>
      <c r="Q12" s="24">
        <f>SUM($P$4:P12)</f>
        <v>43</v>
      </c>
    </row>
    <row r="13" spans="1:17" x14ac:dyDescent="0.25">
      <c r="A13" s="23" t="s">
        <v>241</v>
      </c>
      <c r="B13" s="20">
        <v>10</v>
      </c>
      <c r="N13" s="24">
        <v>10</v>
      </c>
      <c r="O13" s="25">
        <v>44228</v>
      </c>
      <c r="P13" s="24">
        <f>COUNTIFS(staff[Date Joined],"&gt;="&amp;O13,staff[Date Joined],"&lt;="&amp;EOMONTH(O13,0))</f>
        <v>4</v>
      </c>
      <c r="Q13" s="24">
        <f>SUM($P$4:P13)</f>
        <v>47</v>
      </c>
    </row>
    <row r="14" spans="1:17" x14ac:dyDescent="0.25">
      <c r="A14" s="23" t="s">
        <v>242</v>
      </c>
      <c r="B14" s="20">
        <v>19</v>
      </c>
      <c r="N14" s="24">
        <v>11</v>
      </c>
      <c r="O14" s="25">
        <v>44256</v>
      </c>
      <c r="P14" s="24">
        <f>COUNTIFS(staff[Date Joined],"&gt;="&amp;O14,staff[Date Joined],"&lt;="&amp;EOMONTH(O14,0))</f>
        <v>9</v>
      </c>
      <c r="Q14" s="24">
        <f>SUM($P$4:P14)</f>
        <v>56</v>
      </c>
    </row>
    <row r="15" spans="1:17" x14ac:dyDescent="0.25">
      <c r="A15" s="23" t="s">
        <v>243</v>
      </c>
      <c r="B15" s="20">
        <v>24</v>
      </c>
      <c r="N15" s="24">
        <v>12</v>
      </c>
      <c r="O15" s="25">
        <v>44287</v>
      </c>
      <c r="P15" s="24">
        <f>COUNTIFS(staff[Date Joined],"&gt;="&amp;O15,staff[Date Joined],"&lt;="&amp;EOMONTH(O15,0))</f>
        <v>5</v>
      </c>
      <c r="Q15" s="24">
        <f>SUM($P$4:P15)</f>
        <v>61</v>
      </c>
    </row>
    <row r="16" spans="1:17" x14ac:dyDescent="0.25">
      <c r="A16" s="23" t="s">
        <v>231</v>
      </c>
      <c r="B16" s="20">
        <v>34</v>
      </c>
      <c r="N16" s="24">
        <v>13</v>
      </c>
      <c r="O16" s="25">
        <v>44317</v>
      </c>
      <c r="P16" s="24">
        <f>COUNTIFS(staff[Date Joined],"&gt;="&amp;O16,staff[Date Joined],"&lt;="&amp;EOMONTH(O16,0))</f>
        <v>10</v>
      </c>
      <c r="Q16" s="24">
        <f>SUM($P$4:P16)</f>
        <v>71</v>
      </c>
    </row>
    <row r="17" spans="1:17" x14ac:dyDescent="0.25">
      <c r="A17" s="23" t="s">
        <v>232</v>
      </c>
      <c r="B17" s="20">
        <v>40</v>
      </c>
      <c r="N17" s="24">
        <v>14</v>
      </c>
      <c r="O17" s="25">
        <v>44348</v>
      </c>
      <c r="P17" s="24">
        <f>COUNTIFS(staff[Date Joined],"&gt;="&amp;O17,staff[Date Joined],"&lt;="&amp;EOMONTH(O17,0))</f>
        <v>6</v>
      </c>
      <c r="Q17" s="24">
        <f>SUM($P$4:P17)</f>
        <v>77</v>
      </c>
    </row>
    <row r="18" spans="1:17" x14ac:dyDescent="0.25">
      <c r="A18" s="23" t="s">
        <v>233</v>
      </c>
      <c r="B18" s="20">
        <v>53</v>
      </c>
      <c r="N18" s="24">
        <v>15</v>
      </c>
      <c r="O18" s="25">
        <v>44378</v>
      </c>
      <c r="P18" s="24">
        <f>COUNTIFS(staff[Date Joined],"&gt;="&amp;O18,staff[Date Joined],"&lt;="&amp;EOMONTH(O18,0))</f>
        <v>13</v>
      </c>
      <c r="Q18" s="24">
        <f>SUM($P$4:P18)</f>
        <v>90</v>
      </c>
    </row>
    <row r="19" spans="1:17" x14ac:dyDescent="0.25">
      <c r="A19" s="23" t="s">
        <v>234</v>
      </c>
      <c r="B19" s="20">
        <v>57</v>
      </c>
      <c r="N19" s="24">
        <v>16</v>
      </c>
      <c r="O19" s="25">
        <v>44409</v>
      </c>
      <c r="P19" s="24">
        <f>COUNTIFS(staff[Date Joined],"&gt;="&amp;O19,staff[Date Joined],"&lt;="&amp;EOMONTH(O19,0))</f>
        <v>4</v>
      </c>
      <c r="Q19" s="24">
        <f>SUM($P$4:P19)</f>
        <v>94</v>
      </c>
    </row>
    <row r="20" spans="1:17" x14ac:dyDescent="0.25">
      <c r="A20" s="23" t="s">
        <v>235</v>
      </c>
      <c r="B20" s="20">
        <v>68</v>
      </c>
      <c r="N20" s="24">
        <v>17</v>
      </c>
      <c r="O20" s="25">
        <v>44440</v>
      </c>
      <c r="P20" s="24">
        <f>COUNTIFS(staff[Date Joined],"&gt;="&amp;O20,staff[Date Joined],"&lt;="&amp;EOMONTH(O20,0))</f>
        <v>11</v>
      </c>
      <c r="Q20" s="24">
        <f>SUM($P$4:P20)</f>
        <v>105</v>
      </c>
    </row>
    <row r="21" spans="1:17" x14ac:dyDescent="0.25">
      <c r="A21" s="23" t="s">
        <v>236</v>
      </c>
      <c r="B21" s="20">
        <v>71</v>
      </c>
      <c r="N21" s="24">
        <v>18</v>
      </c>
      <c r="O21" s="25">
        <v>44470</v>
      </c>
      <c r="P21" s="24">
        <f>COUNTIFS(staff[Date Joined],"&gt;="&amp;O21,staff[Date Joined],"&lt;="&amp;EOMONTH(O21,0))</f>
        <v>3</v>
      </c>
      <c r="Q21" s="24">
        <f>SUM($P$4:P21)</f>
        <v>108</v>
      </c>
    </row>
    <row r="22" spans="1:17" x14ac:dyDescent="0.25">
      <c r="A22" s="23" t="s">
        <v>237</v>
      </c>
      <c r="B22" s="20">
        <v>75</v>
      </c>
      <c r="N22" s="24">
        <v>19</v>
      </c>
      <c r="O22" s="25">
        <v>44501</v>
      </c>
      <c r="P22" s="24">
        <f>COUNTIFS(staff[Date Joined],"&gt;="&amp;O22,staff[Date Joined],"&lt;="&amp;EOMONTH(O22,0))</f>
        <v>4</v>
      </c>
      <c r="Q22" s="24">
        <f>SUM($P$4:P22)</f>
        <v>112</v>
      </c>
    </row>
    <row r="23" spans="1:17" x14ac:dyDescent="0.25">
      <c r="A23" s="23" t="s">
        <v>238</v>
      </c>
      <c r="B23" s="20">
        <v>82</v>
      </c>
      <c r="N23" s="24">
        <v>20</v>
      </c>
      <c r="O23" s="25">
        <v>44531</v>
      </c>
      <c r="P23" s="24">
        <f>COUNTIFS(staff[Date Joined],"&gt;="&amp;O23,staff[Date Joined],"&lt;="&amp;EOMONTH(O23,0))</f>
        <v>7</v>
      </c>
      <c r="Q23" s="24">
        <f>SUM($P$4:P23)</f>
        <v>119</v>
      </c>
    </row>
    <row r="24" spans="1:17" x14ac:dyDescent="0.25">
      <c r="A24" s="13" t="s">
        <v>244</v>
      </c>
      <c r="B24" s="20"/>
      <c r="N24" s="24">
        <v>21</v>
      </c>
      <c r="O24" s="25">
        <v>44562</v>
      </c>
      <c r="P24" s="24">
        <f>COUNTIFS(staff[Date Joined],"&gt;="&amp;O24,staff[Date Joined],"&lt;="&amp;EOMONTH(O24,0))</f>
        <v>3</v>
      </c>
      <c r="Q24" s="24">
        <f>SUM($P$4:P24)</f>
        <v>122</v>
      </c>
    </row>
    <row r="25" spans="1:17" x14ac:dyDescent="0.25">
      <c r="A25" s="23" t="s">
        <v>240</v>
      </c>
      <c r="B25" s="20">
        <v>3</v>
      </c>
      <c r="N25" s="24">
        <v>22</v>
      </c>
      <c r="O25" s="25">
        <v>44593</v>
      </c>
      <c r="P25" s="24">
        <f>COUNTIFS(staff[Date Joined],"&gt;="&amp;O25,staff[Date Joined],"&lt;="&amp;EOMONTH(O25,0))</f>
        <v>10</v>
      </c>
      <c r="Q25" s="24">
        <f>SUM($P$4:P25)</f>
        <v>132</v>
      </c>
    </row>
    <row r="26" spans="1:17" x14ac:dyDescent="0.25">
      <c r="A26" s="23" t="s">
        <v>241</v>
      </c>
      <c r="B26" s="20">
        <v>13</v>
      </c>
      <c r="N26" s="24">
        <v>23</v>
      </c>
      <c r="O26" s="25">
        <v>44621</v>
      </c>
      <c r="P26" s="24">
        <f>COUNTIFS(staff[Date Joined],"&gt;="&amp;O26,staff[Date Joined],"&lt;="&amp;EOMONTH(O26,0))</f>
        <v>9</v>
      </c>
      <c r="Q26" s="24">
        <f>SUM($P$4:P26)</f>
        <v>141</v>
      </c>
    </row>
    <row r="27" spans="1:17" x14ac:dyDescent="0.25">
      <c r="A27" s="23" t="s">
        <v>242</v>
      </c>
      <c r="B27" s="20">
        <v>22</v>
      </c>
      <c r="N27" s="24">
        <v>24</v>
      </c>
      <c r="O27" s="25">
        <v>44652</v>
      </c>
      <c r="P27" s="24">
        <f>COUNTIFS(staff[Date Joined],"&gt;="&amp;O27,staff[Date Joined],"&lt;="&amp;EOMONTH(O27,0))</f>
        <v>9</v>
      </c>
      <c r="Q27" s="24">
        <f>SUM($P$4:P27)</f>
        <v>150</v>
      </c>
    </row>
    <row r="28" spans="1:17" x14ac:dyDescent="0.25">
      <c r="A28" s="23" t="s">
        <v>243</v>
      </c>
      <c r="B28" s="20">
        <v>31</v>
      </c>
      <c r="N28" s="24">
        <v>25</v>
      </c>
      <c r="O28" s="25">
        <v>44682</v>
      </c>
      <c r="P28" s="24">
        <f>COUNTIFS(staff[Date Joined],"&gt;="&amp;O28,staff[Date Joined],"&lt;="&amp;EOMONTH(O28,0))</f>
        <v>9</v>
      </c>
      <c r="Q28" s="24">
        <f>SUM($P$4:P28)</f>
        <v>159</v>
      </c>
    </row>
    <row r="29" spans="1:17" x14ac:dyDescent="0.25">
      <c r="A29" s="23" t="s">
        <v>231</v>
      </c>
      <c r="B29" s="20">
        <v>40</v>
      </c>
      <c r="N29" s="24">
        <v>26</v>
      </c>
      <c r="O29" s="25">
        <v>44713</v>
      </c>
      <c r="P29" s="24">
        <f>COUNTIFS(staff[Date Joined],"&gt;="&amp;O29,staff[Date Joined],"&lt;="&amp;EOMONTH(O29,0))</f>
        <v>7</v>
      </c>
      <c r="Q29" s="24">
        <f>SUM($P$4:P29)</f>
        <v>166</v>
      </c>
    </row>
    <row r="30" spans="1:17" x14ac:dyDescent="0.25">
      <c r="A30" s="23" t="s">
        <v>232</v>
      </c>
      <c r="B30" s="20">
        <v>47</v>
      </c>
      <c r="N30" s="24">
        <v>27</v>
      </c>
      <c r="O30" s="25">
        <v>44743</v>
      </c>
      <c r="P30" s="24">
        <f>COUNTIFS(staff[Date Joined],"&gt;="&amp;O30,staff[Date Joined],"&lt;="&amp;EOMONTH(O30,0))</f>
        <v>5</v>
      </c>
      <c r="Q30" s="24">
        <f>SUM($P$4:P30)</f>
        <v>171</v>
      </c>
    </row>
    <row r="31" spans="1:17" x14ac:dyDescent="0.25">
      <c r="A31" s="23" t="s">
        <v>233</v>
      </c>
      <c r="B31" s="20">
        <v>52</v>
      </c>
      <c r="N31" s="24">
        <v>28</v>
      </c>
      <c r="O31" s="25">
        <v>44774</v>
      </c>
      <c r="P31" s="24">
        <f>COUNTIFS(staff[Date Joined],"&gt;="&amp;O31,staff[Date Joined],"&lt;="&amp;EOMONTH(O31,0))</f>
        <v>5</v>
      </c>
      <c r="Q31" s="24">
        <f>SUM($P$4:P31)</f>
        <v>176</v>
      </c>
    </row>
    <row r="32" spans="1:17" x14ac:dyDescent="0.25">
      <c r="A32" s="23" t="s">
        <v>234</v>
      </c>
      <c r="B32" s="20">
        <v>57</v>
      </c>
      <c r="N32" s="24">
        <v>29</v>
      </c>
      <c r="O32" s="25">
        <v>44805</v>
      </c>
      <c r="P32" s="24">
        <f>COUNTIFS(staff[Date Joined],"&gt;="&amp;O32,staff[Date Joined],"&lt;="&amp;EOMONTH(O32,0))</f>
        <v>2</v>
      </c>
      <c r="Q32" s="24">
        <f>SUM($P$4:P32)</f>
        <v>178</v>
      </c>
    </row>
    <row r="33" spans="1:17" x14ac:dyDescent="0.25">
      <c r="A33" s="23" t="s">
        <v>235</v>
      </c>
      <c r="B33" s="20">
        <v>59</v>
      </c>
      <c r="N33" s="24">
        <v>30</v>
      </c>
      <c r="O33" s="25">
        <v>44835</v>
      </c>
      <c r="P33" s="24">
        <f>COUNTIFS(staff[Date Joined],"&gt;="&amp;O33,staff[Date Joined],"&lt;="&amp;EOMONTH(O33,0))</f>
        <v>3</v>
      </c>
      <c r="Q33" s="24">
        <f>SUM($P$4:P33)</f>
        <v>181</v>
      </c>
    </row>
    <row r="34" spans="1:17" x14ac:dyDescent="0.25">
      <c r="A34" s="23" t="s">
        <v>236</v>
      </c>
      <c r="B34" s="20">
        <v>62</v>
      </c>
      <c r="N34" s="24">
        <v>31</v>
      </c>
      <c r="O34" s="25">
        <v>44866</v>
      </c>
      <c r="P34" s="24">
        <f>COUNTIFS(staff[Date Joined],"&gt;="&amp;O34,staff[Date Joined],"&lt;="&amp;EOMONTH(O34,0))</f>
        <v>0</v>
      </c>
      <c r="Q34" s="24">
        <f>SUM($P$4:P34)</f>
        <v>181</v>
      </c>
    </row>
    <row r="35" spans="1:17" x14ac:dyDescent="0.25">
      <c r="A35" s="13" t="s">
        <v>245</v>
      </c>
      <c r="B35" s="20"/>
      <c r="N35" s="24">
        <v>32</v>
      </c>
      <c r="O35" s="25">
        <v>44896</v>
      </c>
      <c r="P35" s="24">
        <f>COUNTIFS(staff[Date Joined],"&gt;="&amp;O35,staff[Date Joined],"&lt;="&amp;EOMONTH(O35,0))</f>
        <v>0</v>
      </c>
      <c r="Q35" s="24">
        <f>SUM($P$4:P35)</f>
        <v>181</v>
      </c>
    </row>
    <row r="36" spans="1:17" x14ac:dyDescent="0.25">
      <c r="A36" s="23" t="s">
        <v>241</v>
      </c>
      <c r="B36" s="20">
        <v>1</v>
      </c>
      <c r="N36" s="24">
        <v>33</v>
      </c>
      <c r="O36" s="25">
        <v>44927</v>
      </c>
      <c r="P36" s="24">
        <f>COUNTIFS(staff[Date Joined],"&gt;="&amp;O36,staff[Date Joined],"&lt;="&amp;EOMONTH(O36,0))</f>
        <v>0</v>
      </c>
      <c r="Q36" s="24">
        <f>SUM($P$4:P36)</f>
        <v>181</v>
      </c>
    </row>
    <row r="37" spans="1:17" x14ac:dyDescent="0.25">
      <c r="A37" s="23" t="s">
        <v>243</v>
      </c>
      <c r="B37" s="20">
        <v>2</v>
      </c>
      <c r="N37" s="24">
        <v>34</v>
      </c>
      <c r="O37" s="25">
        <v>44958</v>
      </c>
      <c r="P37" s="24">
        <f>COUNTIFS(staff[Date Joined],"&gt;="&amp;O37,staff[Date Joined],"&lt;="&amp;EOMONTH(O37,0))</f>
        <v>1</v>
      </c>
      <c r="Q37" s="24">
        <f>SUM($P$4:P37)</f>
        <v>182</v>
      </c>
    </row>
    <row r="38" spans="1:17" x14ac:dyDescent="0.25">
      <c r="A38" s="13" t="s">
        <v>228</v>
      </c>
      <c r="B38" s="20"/>
      <c r="N38" s="24">
        <v>35</v>
      </c>
      <c r="O38" s="25">
        <v>44986</v>
      </c>
      <c r="P38" s="24">
        <f>COUNTIFS(staff[Date Joined],"&gt;="&amp;O38,staff[Date Joined],"&lt;="&amp;EOMONTH(O38,0))</f>
        <v>0</v>
      </c>
      <c r="Q38" s="24">
        <f>SUM($P$4:P38)</f>
        <v>182</v>
      </c>
    </row>
    <row r="39" spans="1:17" x14ac:dyDescent="0.25">
      <c r="N39" s="24">
        <v>36</v>
      </c>
      <c r="O39" s="25">
        <v>45017</v>
      </c>
      <c r="P39" s="24">
        <f>COUNTIFS(staff[Date Joined],"&gt;="&amp;O39,staff[Date Joined],"&lt;="&amp;EOMONTH(O39,0))</f>
        <v>1</v>
      </c>
      <c r="Q39" s="24">
        <f>SUM($P$4:P39)</f>
        <v>183</v>
      </c>
    </row>
  </sheetData>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C3AF-8611-4A6B-9F8E-A57A04370033}">
  <dimension ref="B1:M14"/>
  <sheetViews>
    <sheetView showGridLines="0" zoomScale="70" zoomScaleNormal="70" workbookViewId="0">
      <selection activeCell="G1" sqref="G1"/>
    </sheetView>
  </sheetViews>
  <sheetFormatPr defaultRowHeight="15" x14ac:dyDescent="0.25"/>
  <cols>
    <col min="2" max="2" width="19.5703125" customWidth="1"/>
    <col min="3" max="3" width="4.7109375" style="27" customWidth="1"/>
    <col min="4" max="4" width="19.5703125" customWidth="1"/>
    <col min="5" max="5" width="6.28515625" style="27" customWidth="1"/>
    <col min="6" max="6" width="28.42578125" customWidth="1"/>
    <col min="9" max="9" width="19.5703125" customWidth="1"/>
    <col min="10" max="10" width="4.7109375" customWidth="1"/>
    <col min="11" max="11" width="19.5703125" customWidth="1"/>
    <col min="12" max="12" width="6.28515625" customWidth="1"/>
    <col min="13" max="13" width="25" customWidth="1"/>
  </cols>
  <sheetData>
    <row r="1" spans="2:13" ht="69.75" customHeight="1" x14ac:dyDescent="0.25">
      <c r="B1" s="35" t="s">
        <v>250</v>
      </c>
      <c r="C1" s="35"/>
      <c r="D1" s="35"/>
      <c r="E1" s="35"/>
      <c r="F1" s="35"/>
      <c r="I1" s="36" t="s">
        <v>251</v>
      </c>
      <c r="J1" s="35"/>
      <c r="K1" s="35"/>
      <c r="L1" s="35"/>
      <c r="M1" s="35"/>
    </row>
    <row r="2" spans="2:13" x14ac:dyDescent="0.25">
      <c r="J2" s="27"/>
      <c r="L2" s="27"/>
    </row>
    <row r="3" spans="2:13" ht="67.5" customHeight="1" x14ac:dyDescent="0.25">
      <c r="B3" s="28">
        <f>COUNTIFS(staff[Country],"nz")</f>
        <v>91</v>
      </c>
      <c r="D3" s="30">
        <f>COUNTIFS(staff[Country],"NZ",staff[Gender],"Female")/B3</f>
        <v>0.47252747252747251</v>
      </c>
      <c r="F3" s="31">
        <f>AVERAGEIFS(staff[Salary],staff[Country],"NZ")</f>
        <v>76978.791208791212</v>
      </c>
      <c r="I3" s="29">
        <f>COUNTIFS(staff[Country],"IND")</f>
        <v>92</v>
      </c>
      <c r="J3" s="27"/>
      <c r="K3" s="32">
        <f>COUNTIFS(staff[Country],"IND",staff[Gender],"Female")/I3</f>
        <v>0.46739130434782611</v>
      </c>
      <c r="L3" s="27"/>
      <c r="M3" s="33">
        <f>AVERAGEIFS(staff[Salary],staff[Country],"IND")</f>
        <v>77366.521739130432</v>
      </c>
    </row>
    <row r="4" spans="2:13" x14ac:dyDescent="0.25">
      <c r="J4" s="27"/>
      <c r="L4" s="27"/>
    </row>
    <row r="5" spans="2:13" ht="34.5" customHeight="1" x14ac:dyDescent="0.25">
      <c r="B5" s="34" t="s">
        <v>249</v>
      </c>
      <c r="C5" s="34"/>
      <c r="D5" s="34"/>
      <c r="E5" s="34"/>
      <c r="F5" s="34"/>
      <c r="G5" s="34"/>
      <c r="H5" s="34"/>
      <c r="I5" s="34"/>
      <c r="J5" s="34"/>
      <c r="K5" s="34"/>
      <c r="L5" s="34"/>
      <c r="M5" s="34"/>
    </row>
    <row r="6" spans="2:13" x14ac:dyDescent="0.25">
      <c r="J6" s="27"/>
      <c r="L6" s="27"/>
    </row>
    <row r="7" spans="2:13" x14ac:dyDescent="0.25">
      <c r="J7" s="27"/>
      <c r="L7" s="27"/>
    </row>
    <row r="8" spans="2:13" x14ac:dyDescent="0.25">
      <c r="J8" s="27"/>
      <c r="L8" s="27"/>
    </row>
    <row r="9" spans="2:13" x14ac:dyDescent="0.25">
      <c r="J9" s="27"/>
      <c r="L9" s="27"/>
    </row>
    <row r="10" spans="2:13" ht="67.5" customHeight="1" x14ac:dyDescent="0.25">
      <c r="J10" s="27"/>
      <c r="L10" s="27"/>
    </row>
    <row r="11" spans="2:13" x14ac:dyDescent="0.25">
      <c r="J11" s="27"/>
      <c r="L11" s="27"/>
    </row>
    <row r="12" spans="2:13" x14ac:dyDescent="0.25">
      <c r="J12" s="27"/>
      <c r="L12" s="27"/>
    </row>
    <row r="13" spans="2:13" x14ac:dyDescent="0.25">
      <c r="J13" s="27"/>
      <c r="L13" s="27"/>
    </row>
    <row r="14" spans="2:13" x14ac:dyDescent="0.25">
      <c r="J14" s="27"/>
      <c r="L14" s="27"/>
    </row>
  </sheetData>
  <mergeCells count="3">
    <mergeCell ref="B5:M5"/>
    <mergeCell ref="B1:F1"/>
    <mergeCell ref="I1:M1"/>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343-0D11-4F54-95EC-20674ABA6F86}">
  <dimension ref="A1:E9"/>
  <sheetViews>
    <sheetView tabSelected="1" topLeftCell="A2" workbookViewId="0">
      <selection activeCell="E2" sqref="E2"/>
    </sheetView>
  </sheetViews>
  <sheetFormatPr defaultRowHeight="15" x14ac:dyDescent="0.25"/>
  <cols>
    <col min="1" max="1" width="13.140625" bestFit="1" customWidth="1"/>
    <col min="2" max="2" width="14.42578125" bestFit="1" customWidth="1"/>
    <col min="4" max="4" width="13.140625" bestFit="1" customWidth="1"/>
    <col min="5" max="5" width="14.42578125" bestFit="1" customWidth="1"/>
  </cols>
  <sheetData>
    <row r="1" spans="1:5" x14ac:dyDescent="0.25">
      <c r="A1" s="19" t="s">
        <v>202</v>
      </c>
      <c r="B1" t="s" vm="1">
        <v>203</v>
      </c>
      <c r="D1" s="19" t="s">
        <v>202</v>
      </c>
      <c r="E1" t="s" vm="2">
        <v>205</v>
      </c>
    </row>
    <row r="3" spans="1:5" x14ac:dyDescent="0.25">
      <c r="A3" s="19" t="s">
        <v>227</v>
      </c>
      <c r="B3" t="s">
        <v>221</v>
      </c>
      <c r="D3" s="19" t="s">
        <v>227</v>
      </c>
      <c r="E3" t="s">
        <v>221</v>
      </c>
    </row>
    <row r="4" spans="1:5" x14ac:dyDescent="0.25">
      <c r="A4" s="13" t="s">
        <v>12</v>
      </c>
      <c r="B4" s="20">
        <v>27</v>
      </c>
      <c r="D4" s="13" t="s">
        <v>9</v>
      </c>
      <c r="E4" s="20">
        <v>28</v>
      </c>
    </row>
    <row r="5" spans="1:5" x14ac:dyDescent="0.25">
      <c r="A5" s="13" t="s">
        <v>9</v>
      </c>
      <c r="B5" s="20">
        <v>27</v>
      </c>
      <c r="D5" s="13" t="s">
        <v>12</v>
      </c>
      <c r="E5" s="20">
        <v>27</v>
      </c>
    </row>
    <row r="6" spans="1:5" x14ac:dyDescent="0.25">
      <c r="A6" s="13" t="s">
        <v>21</v>
      </c>
      <c r="B6" s="20">
        <v>19</v>
      </c>
      <c r="D6" s="13" t="s">
        <v>21</v>
      </c>
      <c r="E6" s="20">
        <v>19</v>
      </c>
    </row>
    <row r="7" spans="1:5" x14ac:dyDescent="0.25">
      <c r="A7" s="13" t="s">
        <v>19</v>
      </c>
      <c r="B7" s="20">
        <v>14</v>
      </c>
      <c r="D7" s="13" t="s">
        <v>19</v>
      </c>
      <c r="E7" s="20">
        <v>14</v>
      </c>
    </row>
    <row r="8" spans="1:5" x14ac:dyDescent="0.25">
      <c r="A8" s="13" t="s">
        <v>56</v>
      </c>
      <c r="B8" s="20">
        <v>4</v>
      </c>
      <c r="D8" s="13" t="s">
        <v>56</v>
      </c>
      <c r="E8" s="20">
        <v>4</v>
      </c>
    </row>
    <row r="9" spans="1:5" x14ac:dyDescent="0.25">
      <c r="A9" s="13" t="s">
        <v>228</v>
      </c>
      <c r="B9" s="20">
        <v>91</v>
      </c>
      <c r="D9" s="13" t="s">
        <v>228</v>
      </c>
      <c r="E9" s="20">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C40FF6-37A1-4FDD-880D-D207109650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NZ Staff</vt:lpstr>
      <vt:lpstr>INDIA Staff</vt:lpstr>
      <vt:lpstr>AllStaff</vt:lpstr>
      <vt:lpstr>Info finder 2.0</vt:lpstr>
      <vt:lpstr>male vs. female</vt:lpstr>
      <vt:lpstr>Salary Spread</vt:lpstr>
      <vt:lpstr>Salary vs. Rating</vt:lpstr>
      <vt:lpstr>Employee trend over time</vt:lpstr>
      <vt:lpstr>Final Report Card</vt:lpstr>
      <vt:lpstr>Report 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ROZA1</cp:lastModifiedBy>
  <dcterms:created xsi:type="dcterms:W3CDTF">2021-03-14T20:21:32Z</dcterms:created>
  <dcterms:modified xsi:type="dcterms:W3CDTF">2023-06-19T16:49:02Z</dcterms:modified>
</cp:coreProperties>
</file>