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si\Documents\SS baru\Improvement\Project\4. PT HFG dan HSJ\3. Mock Up\Produksi\Mock Up\"/>
    </mc:Choice>
  </mc:AlternateContent>
  <xr:revisionPtr revIDLastSave="0" documentId="13_ncr:1_{2B2C101D-45F5-4C83-A5D9-8BDF68132EA1}" xr6:coauthVersionLast="47" xr6:coauthVersionMax="47" xr10:uidLastSave="{00000000-0000-0000-0000-000000000000}"/>
  <bookViews>
    <workbookView xWindow="-110" yWindow="-110" windowWidth="19420" windowHeight="11020" xr2:uid="{665381FD-8A55-453D-80E3-FEA994E138B1}"/>
  </bookViews>
  <sheets>
    <sheet name="Flow Pch, Wrh, Prod" sheetId="8" r:id="rId1"/>
    <sheet name="Konsep yang akan dipakai" sheetId="19" r:id="rId2"/>
    <sheet name="Sim unpack,Prod (ada sisa WIP)" sheetId="15" r:id="rId3"/>
    <sheet name="Sim unpack,Prod (sisa WIP) (2)" sheetId="20" state="hidden" r:id="rId4"/>
    <sheet name="Sim unpack,Prod(pakai WIP&amp;utuh)" sheetId="16" r:id="rId5"/>
    <sheet name="Sim unpack,Prod(Di Hold)" sheetId="17" r:id="rId6"/>
    <sheet name="Sim unpack,Prod(Pakai yg Hold)" sheetId="1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42" i="19" l="1"/>
  <c r="T118" i="19"/>
  <c r="G76" i="19"/>
  <c r="G75" i="19"/>
  <c r="H35" i="20"/>
  <c r="G35" i="20"/>
  <c r="H34" i="20"/>
  <c r="G34" i="20"/>
  <c r="H33" i="20"/>
  <c r="G33" i="20"/>
  <c r="H32" i="20"/>
  <c r="G32" i="20"/>
  <c r="H31" i="20"/>
  <c r="G31" i="20"/>
  <c r="H30" i="20"/>
  <c r="G30" i="20"/>
  <c r="H29" i="20"/>
  <c r="G29" i="20"/>
  <c r="H28" i="20"/>
  <c r="G28" i="20"/>
  <c r="H27" i="20"/>
  <c r="G27" i="20"/>
  <c r="H26" i="20"/>
  <c r="G26" i="20"/>
  <c r="H25" i="20"/>
  <c r="G25" i="20"/>
  <c r="J21" i="20"/>
  <c r="I21" i="20"/>
  <c r="F35" i="20"/>
  <c r="F34" i="20"/>
  <c r="F33" i="20"/>
  <c r="F32" i="20"/>
  <c r="F31" i="20"/>
  <c r="F30" i="20"/>
  <c r="F29" i="20"/>
  <c r="F28" i="20"/>
  <c r="F27" i="20"/>
  <c r="F26" i="20"/>
  <c r="F25" i="20"/>
  <c r="E35" i="20"/>
  <c r="E34" i="20"/>
  <c r="E33" i="20"/>
  <c r="E32" i="20"/>
  <c r="E31" i="20"/>
  <c r="E30" i="20"/>
  <c r="E29" i="20"/>
  <c r="E28" i="20"/>
  <c r="E27" i="20"/>
  <c r="E26" i="20"/>
  <c r="E25" i="20"/>
  <c r="D35" i="20"/>
  <c r="D34" i="20"/>
  <c r="D33" i="20"/>
  <c r="C33" i="20"/>
  <c r="H21" i="20"/>
  <c r="G21" i="20"/>
  <c r="F21" i="20"/>
  <c r="A243" i="20"/>
  <c r="C186" i="20"/>
  <c r="E186" i="20" s="1"/>
  <c r="H208" i="20" s="1"/>
  <c r="B186" i="20"/>
  <c r="C182" i="20"/>
  <c r="E182" i="20" s="1"/>
  <c r="H207" i="20" s="1"/>
  <c r="D177" i="20"/>
  <c r="G177" i="20" s="1"/>
  <c r="D176" i="20"/>
  <c r="G176" i="20" s="1"/>
  <c r="D175" i="20"/>
  <c r="G175" i="20" s="1"/>
  <c r="D174" i="20"/>
  <c r="F174" i="20" s="1"/>
  <c r="D173" i="20"/>
  <c r="G173" i="20" s="1"/>
  <c r="D172" i="20"/>
  <c r="G172" i="20" s="1"/>
  <c r="D171" i="20"/>
  <c r="G171" i="20" s="1"/>
  <c r="C166" i="20"/>
  <c r="O165" i="20"/>
  <c r="J165" i="20"/>
  <c r="G165" i="20"/>
  <c r="E165" i="20"/>
  <c r="D165" i="20"/>
  <c r="I165" i="20" s="1"/>
  <c r="C165" i="20"/>
  <c r="B165" i="20"/>
  <c r="O159" i="20"/>
  <c r="E159" i="20"/>
  <c r="D159" i="20"/>
  <c r="I159" i="20" s="1"/>
  <c r="C159" i="20"/>
  <c r="C160" i="20" s="1"/>
  <c r="L153" i="20"/>
  <c r="U153" i="20" s="1"/>
  <c r="K153" i="20"/>
  <c r="T153" i="20" s="1"/>
  <c r="J153" i="20"/>
  <c r="S153" i="20" s="1"/>
  <c r="I153" i="20"/>
  <c r="R153" i="20" s="1"/>
  <c r="H153" i="20"/>
  <c r="Q153" i="20" s="1"/>
  <c r="G153" i="20"/>
  <c r="P153" i="20" s="1"/>
  <c r="O152" i="20"/>
  <c r="D152" i="20"/>
  <c r="J152" i="20" s="1"/>
  <c r="B152" i="20"/>
  <c r="K141" i="20"/>
  <c r="D141" i="20"/>
  <c r="C141" i="20"/>
  <c r="B141" i="20"/>
  <c r="A141" i="20"/>
  <c r="D140" i="20"/>
  <c r="C140" i="20"/>
  <c r="B140" i="20"/>
  <c r="A140" i="20"/>
  <c r="D139" i="20"/>
  <c r="C139" i="20"/>
  <c r="B139" i="20"/>
  <c r="A139" i="20"/>
  <c r="J138" i="20"/>
  <c r="I138" i="20"/>
  <c r="H138" i="20"/>
  <c r="D138" i="20"/>
  <c r="C138" i="20"/>
  <c r="B138" i="20"/>
  <c r="A138" i="20"/>
  <c r="H133" i="20"/>
  <c r="C133" i="20"/>
  <c r="C128" i="20"/>
  <c r="D133" i="20" s="1"/>
  <c r="G100" i="20"/>
  <c r="B159" i="20" s="1"/>
  <c r="G80" i="20"/>
  <c r="D80" i="20"/>
  <c r="G141" i="20" s="1"/>
  <c r="G74" i="20"/>
  <c r="D74" i="20"/>
  <c r="G140" i="20" s="1"/>
  <c r="L140" i="20" s="1"/>
  <c r="G68" i="20"/>
  <c r="D68" i="20"/>
  <c r="G62" i="20"/>
  <c r="D62" i="20"/>
  <c r="G138" i="20" s="1"/>
  <c r="C53" i="20"/>
  <c r="C52" i="20"/>
  <c r="C51" i="20"/>
  <c r="I50" i="20"/>
  <c r="H50" i="20"/>
  <c r="C50" i="20"/>
  <c r="D32" i="20"/>
  <c r="D31" i="20"/>
  <c r="D30" i="20"/>
  <c r="D29" i="20"/>
  <c r="D28" i="20"/>
  <c r="C110" i="20" s="1"/>
  <c r="B182" i="20" s="1"/>
  <c r="D27" i="20"/>
  <c r="E140" i="20" s="1"/>
  <c r="D26" i="20"/>
  <c r="C64" i="20" s="1"/>
  <c r="D25" i="20"/>
  <c r="E138" i="20" s="1"/>
  <c r="J19" i="20"/>
  <c r="I19" i="20"/>
  <c r="H19" i="20"/>
  <c r="G19" i="20"/>
  <c r="I15" i="20"/>
  <c r="K15" i="20" s="1"/>
  <c r="H15" i="20"/>
  <c r="J15" i="20" s="1"/>
  <c r="H246" i="15"/>
  <c r="H234" i="15"/>
  <c r="I230" i="15"/>
  <c r="I242" i="15"/>
  <c r="H250" i="15"/>
  <c r="I249" i="15"/>
  <c r="H238" i="15"/>
  <c r="U118" i="19" l="1"/>
  <c r="Q118" i="19"/>
  <c r="S118" i="19"/>
  <c r="F142" i="19"/>
  <c r="R118" i="19"/>
  <c r="F140" i="20"/>
  <c r="R159" i="20"/>
  <c r="F176" i="20"/>
  <c r="H152" i="20"/>
  <c r="G174" i="20"/>
  <c r="G152" i="20"/>
  <c r="P152" i="20" s="1"/>
  <c r="P154" i="20" s="1"/>
  <c r="L138" i="20"/>
  <c r="K152" i="20"/>
  <c r="T152" i="20" s="1"/>
  <c r="T154" i="20" s="1"/>
  <c r="J159" i="20"/>
  <c r="F172" i="20"/>
  <c r="K159" i="20"/>
  <c r="T159" i="20" s="1"/>
  <c r="G178" i="20"/>
  <c r="H211" i="20" s="1"/>
  <c r="F173" i="20"/>
  <c r="F177" i="20"/>
  <c r="D51" i="20"/>
  <c r="D52" i="20"/>
  <c r="L152" i="20"/>
  <c r="U152" i="20" s="1"/>
  <c r="U154" i="20" s="1"/>
  <c r="S165" i="20"/>
  <c r="R165" i="20"/>
  <c r="K165" i="20"/>
  <c r="T165" i="20" s="1"/>
  <c r="H201" i="20" s="1"/>
  <c r="D50" i="20"/>
  <c r="B133" i="20"/>
  <c r="I133" i="20" s="1"/>
  <c r="L141" i="20"/>
  <c r="G159" i="20"/>
  <c r="P159" i="20" s="1"/>
  <c r="M140" i="20"/>
  <c r="N140" i="20" s="1"/>
  <c r="C152" i="20"/>
  <c r="C154" i="20" s="1"/>
  <c r="F141" i="20"/>
  <c r="F139" i="20"/>
  <c r="E52" i="20"/>
  <c r="D53" i="20"/>
  <c r="B51" i="20"/>
  <c r="B52" i="20"/>
  <c r="B53" i="20"/>
  <c r="C58" i="20"/>
  <c r="E139" i="20"/>
  <c r="E141" i="20"/>
  <c r="I152" i="20"/>
  <c r="R152" i="20" s="1"/>
  <c r="R154" i="20" s="1"/>
  <c r="Q152" i="20"/>
  <c r="Q154" i="20" s="1"/>
  <c r="H159" i="20"/>
  <c r="Q159" i="20" s="1"/>
  <c r="L159" i="20"/>
  <c r="U159" i="20" s="1"/>
  <c r="H165" i="20"/>
  <c r="Q165" i="20" s="1"/>
  <c r="L165" i="20"/>
  <c r="U165" i="20" s="1"/>
  <c r="P165" i="20"/>
  <c r="F171" i="20"/>
  <c r="F175" i="20"/>
  <c r="C76" i="20"/>
  <c r="M153" i="20"/>
  <c r="V153" i="20" s="1"/>
  <c r="M159" i="20"/>
  <c r="V159" i="20" s="1"/>
  <c r="M165" i="20"/>
  <c r="V165" i="20" s="1"/>
  <c r="B50" i="20"/>
  <c r="C70" i="20"/>
  <c r="G139" i="20"/>
  <c r="L139" i="20" s="1"/>
  <c r="S152" i="20"/>
  <c r="S154" i="20" s="1"/>
  <c r="E53" i="20"/>
  <c r="E50" i="20"/>
  <c r="F138" i="20"/>
  <c r="M138" i="20" s="1"/>
  <c r="N138" i="20" s="1"/>
  <c r="E51" i="20"/>
  <c r="S159" i="20"/>
  <c r="H197" i="15"/>
  <c r="A239" i="15"/>
  <c r="G163" i="18"/>
  <c r="G162" i="18"/>
  <c r="G161" i="18"/>
  <c r="G160" i="18"/>
  <c r="G159" i="18"/>
  <c r="G158" i="18"/>
  <c r="G157" i="18"/>
  <c r="F163" i="18"/>
  <c r="F162" i="18"/>
  <c r="F161" i="18"/>
  <c r="F160" i="18"/>
  <c r="F159" i="18"/>
  <c r="F158" i="18"/>
  <c r="F157" i="18"/>
  <c r="G163" i="17"/>
  <c r="G162" i="17"/>
  <c r="G161" i="17"/>
  <c r="G160" i="17"/>
  <c r="G159" i="17"/>
  <c r="G158" i="17"/>
  <c r="F163" i="17"/>
  <c r="F162" i="17"/>
  <c r="F161" i="17"/>
  <c r="F160" i="17"/>
  <c r="F159" i="17"/>
  <c r="F158" i="17"/>
  <c r="G157" i="17"/>
  <c r="F157" i="17"/>
  <c r="G163" i="16"/>
  <c r="G162" i="16"/>
  <c r="G161" i="16"/>
  <c r="G160" i="16"/>
  <c r="G159" i="16"/>
  <c r="G158" i="16"/>
  <c r="F163" i="16"/>
  <c r="F162" i="16"/>
  <c r="F161" i="16"/>
  <c r="F160" i="16"/>
  <c r="F159" i="16"/>
  <c r="F158" i="16"/>
  <c r="G157" i="16"/>
  <c r="F157" i="16"/>
  <c r="L196" i="16"/>
  <c r="V118" i="19" l="1"/>
  <c r="P118" i="19"/>
  <c r="I219" i="20"/>
  <c r="H244" i="20" s="1"/>
  <c r="I246" i="20" s="1"/>
  <c r="M139" i="20"/>
  <c r="N139" i="20" s="1"/>
  <c r="M152" i="20"/>
  <c r="V152" i="20" s="1"/>
  <c r="I209" i="20"/>
  <c r="M141" i="20"/>
  <c r="N141" i="20" s="1"/>
  <c r="W159" i="20"/>
  <c r="J133" i="20"/>
  <c r="K133" i="20" s="1"/>
  <c r="C190" i="20" s="1"/>
  <c r="E190" i="20" s="1"/>
  <c r="H214" i="20" s="1"/>
  <c r="N153" i="20"/>
  <c r="W153" i="20" s="1"/>
  <c r="F178" i="20"/>
  <c r="H206" i="20" s="1"/>
  <c r="Y159" i="20"/>
  <c r="X159" i="20"/>
  <c r="W165" i="20"/>
  <c r="I218" i="20"/>
  <c r="H240" i="20" s="1"/>
  <c r="H242" i="20" s="1"/>
  <c r="H200" i="20"/>
  <c r="I217" i="20"/>
  <c r="H236" i="20" s="1"/>
  <c r="H238" i="20" s="1"/>
  <c r="H199" i="20"/>
  <c r="H198" i="20"/>
  <c r="I216" i="20"/>
  <c r="H232" i="20" s="1"/>
  <c r="I234" i="20" s="1"/>
  <c r="N159" i="20"/>
  <c r="V154" i="20"/>
  <c r="H202" i="20"/>
  <c r="I220" i="20"/>
  <c r="H248" i="20" s="1"/>
  <c r="H250" i="20" s="1"/>
  <c r="H197" i="20"/>
  <c r="N165" i="20"/>
  <c r="I201" i="17"/>
  <c r="I202" i="18"/>
  <c r="H189" i="18"/>
  <c r="I190" i="18"/>
  <c r="H200" i="18"/>
  <c r="N152" i="20" l="1"/>
  <c r="W152" i="20" s="1"/>
  <c r="L133" i="20"/>
  <c r="I221" i="20"/>
  <c r="H252" i="20" s="1"/>
  <c r="H203" i="20"/>
  <c r="I224" i="20" s="1"/>
  <c r="I225" i="20" s="1"/>
  <c r="Y165" i="20"/>
  <c r="H212" i="20" s="1"/>
  <c r="X165" i="20"/>
  <c r="H223" i="20"/>
  <c r="H225" i="20" s="1"/>
  <c r="G70" i="19"/>
  <c r="G69" i="19"/>
  <c r="O151" i="18"/>
  <c r="I195" i="18"/>
  <c r="H194" i="18"/>
  <c r="H193" i="18"/>
  <c r="C117" i="18"/>
  <c r="I117" i="18"/>
  <c r="F90" i="18"/>
  <c r="G90" i="18"/>
  <c r="E33" i="18"/>
  <c r="D33" i="18"/>
  <c r="E122" i="18" s="1"/>
  <c r="C172" i="18"/>
  <c r="E172" i="18" s="1"/>
  <c r="B172" i="18"/>
  <c r="C168" i="18"/>
  <c r="E168" i="18" s="1"/>
  <c r="D163" i="18"/>
  <c r="D162" i="18"/>
  <c r="D161" i="18"/>
  <c r="D160" i="18"/>
  <c r="D159" i="18"/>
  <c r="D158" i="18"/>
  <c r="D157" i="18"/>
  <c r="J151" i="18"/>
  <c r="S151" i="18" s="1"/>
  <c r="S152" i="18" s="1"/>
  <c r="E151" i="18"/>
  <c r="D151" i="18"/>
  <c r="I151" i="18" s="1"/>
  <c r="R151" i="18" s="1"/>
  <c r="R152" i="18" s="1"/>
  <c r="C151" i="18"/>
  <c r="C152" i="18" s="1"/>
  <c r="B151" i="18"/>
  <c r="O145" i="18"/>
  <c r="H145" i="18"/>
  <c r="E145" i="18"/>
  <c r="C145" i="18"/>
  <c r="O144" i="18"/>
  <c r="E144" i="18"/>
  <c r="C144" i="18"/>
  <c r="O143" i="18"/>
  <c r="E143" i="18"/>
  <c r="C143" i="18"/>
  <c r="C146" i="18" s="1"/>
  <c r="L137" i="18"/>
  <c r="K137" i="18"/>
  <c r="J137" i="18"/>
  <c r="I137" i="18"/>
  <c r="H137" i="18"/>
  <c r="G137" i="18"/>
  <c r="M137" i="18" s="1"/>
  <c r="O136" i="18"/>
  <c r="J136" i="18"/>
  <c r="H136" i="18"/>
  <c r="G136" i="18"/>
  <c r="M136" i="18" s="1"/>
  <c r="D136" i="18"/>
  <c r="I136" i="18" s="1"/>
  <c r="B136" i="18"/>
  <c r="J125" i="18"/>
  <c r="E125" i="18"/>
  <c r="B125" i="18"/>
  <c r="A125" i="18"/>
  <c r="B124" i="18"/>
  <c r="A124" i="18"/>
  <c r="B123" i="18"/>
  <c r="A123" i="18"/>
  <c r="H122" i="18"/>
  <c r="G122" i="18"/>
  <c r="B122" i="18"/>
  <c r="A122" i="18"/>
  <c r="H117" i="18"/>
  <c r="C112" i="18"/>
  <c r="I122" i="18" s="1"/>
  <c r="C94" i="18"/>
  <c r="B168" i="18" s="1"/>
  <c r="D145" i="18"/>
  <c r="G145" i="18" s="1"/>
  <c r="G84" i="18"/>
  <c r="B144" i="18" s="1"/>
  <c r="D144" i="18"/>
  <c r="I144" i="18" s="1"/>
  <c r="R144" i="18" s="1"/>
  <c r="D143" i="18"/>
  <c r="G63" i="18"/>
  <c r="D63" i="18"/>
  <c r="F125" i="18" s="1"/>
  <c r="G57" i="18"/>
  <c r="D57" i="18"/>
  <c r="F124" i="18" s="1"/>
  <c r="K124" i="18" s="1"/>
  <c r="L124" i="18" s="1"/>
  <c r="M124" i="18" s="1"/>
  <c r="G51" i="18"/>
  <c r="D51" i="18"/>
  <c r="F123" i="18" s="1"/>
  <c r="K123" i="18" s="1"/>
  <c r="G45" i="18"/>
  <c r="D45" i="18"/>
  <c r="D125" i="18"/>
  <c r="E124" i="18"/>
  <c r="I197" i="18"/>
  <c r="D123" i="18"/>
  <c r="D11" i="18"/>
  <c r="B33" i="18" s="1"/>
  <c r="L123" i="17"/>
  <c r="K123" i="17"/>
  <c r="J117" i="17"/>
  <c r="I117" i="17"/>
  <c r="E34" i="17"/>
  <c r="D34" i="17"/>
  <c r="C172" i="17"/>
  <c r="E172" i="17" s="1"/>
  <c r="H194" i="17" s="1"/>
  <c r="C168" i="17"/>
  <c r="E168" i="17" s="1"/>
  <c r="H193" i="17" s="1"/>
  <c r="D163" i="17"/>
  <c r="D162" i="17"/>
  <c r="D161" i="17"/>
  <c r="D160" i="17"/>
  <c r="D159" i="17"/>
  <c r="D158" i="17"/>
  <c r="D157" i="17"/>
  <c r="O151" i="17"/>
  <c r="E151" i="17"/>
  <c r="D151" i="17"/>
  <c r="C151" i="17"/>
  <c r="C152" i="17" s="1"/>
  <c r="B151" i="17"/>
  <c r="O145" i="17"/>
  <c r="E145" i="17"/>
  <c r="C145" i="17"/>
  <c r="O144" i="17"/>
  <c r="E144" i="17"/>
  <c r="C144" i="17"/>
  <c r="O143" i="17"/>
  <c r="E143" i="17"/>
  <c r="D143" i="17"/>
  <c r="C143" i="17"/>
  <c r="C146" i="17" s="1"/>
  <c r="M137" i="17"/>
  <c r="L137" i="17"/>
  <c r="K137" i="17"/>
  <c r="J137" i="17"/>
  <c r="I137" i="17"/>
  <c r="N137" i="17" s="1"/>
  <c r="H137" i="17"/>
  <c r="G137" i="17"/>
  <c r="O136" i="17"/>
  <c r="D136" i="17"/>
  <c r="B136" i="17"/>
  <c r="J125" i="17"/>
  <c r="E125" i="17"/>
  <c r="B125" i="17"/>
  <c r="A125" i="17"/>
  <c r="E124" i="17"/>
  <c r="B124" i="17"/>
  <c r="A124" i="17"/>
  <c r="B123" i="17"/>
  <c r="A123" i="17"/>
  <c r="H122" i="17"/>
  <c r="G122" i="17"/>
  <c r="B122" i="17"/>
  <c r="A122" i="17"/>
  <c r="H117" i="17"/>
  <c r="C117" i="17"/>
  <c r="C112" i="17"/>
  <c r="I122" i="17" s="1"/>
  <c r="C94" i="17"/>
  <c r="B168" i="17" s="1"/>
  <c r="D145" i="17"/>
  <c r="K145" i="17" s="1"/>
  <c r="T145" i="17" s="1"/>
  <c r="G84" i="17"/>
  <c r="B144" i="17" s="1"/>
  <c r="D144" i="17"/>
  <c r="C81" i="17"/>
  <c r="G63" i="17"/>
  <c r="D63" i="17"/>
  <c r="F125" i="17" s="1"/>
  <c r="G57" i="17"/>
  <c r="D57" i="17"/>
  <c r="F124" i="17" s="1"/>
  <c r="L124" i="17" s="1"/>
  <c r="G51" i="17"/>
  <c r="D51" i="17"/>
  <c r="F123" i="17" s="1"/>
  <c r="G45" i="17"/>
  <c r="D45" i="17"/>
  <c r="D11" i="17"/>
  <c r="B34" i="17" s="1"/>
  <c r="D10" i="17"/>
  <c r="D9" i="17"/>
  <c r="D8" i="17"/>
  <c r="H210" i="16"/>
  <c r="I208" i="16"/>
  <c r="I207" i="16"/>
  <c r="I206" i="16"/>
  <c r="I205" i="16"/>
  <c r="I204" i="16"/>
  <c r="I203" i="16"/>
  <c r="I196" i="16"/>
  <c r="H194" i="16"/>
  <c r="I122" i="16"/>
  <c r="H122" i="16"/>
  <c r="G122" i="16"/>
  <c r="E125" i="16"/>
  <c r="D125" i="16"/>
  <c r="U152" i="16"/>
  <c r="E151" i="16"/>
  <c r="D151" i="16"/>
  <c r="J151" i="16" s="1"/>
  <c r="S151" i="16" s="1"/>
  <c r="S152" i="16" s="1"/>
  <c r="C151" i="16"/>
  <c r="C152" i="16" s="1"/>
  <c r="B151" i="16"/>
  <c r="O151" i="16"/>
  <c r="L151" i="16"/>
  <c r="U151" i="16" s="1"/>
  <c r="K151" i="16"/>
  <c r="T151" i="16" s="1"/>
  <c r="T152" i="16" s="1"/>
  <c r="G151" i="16"/>
  <c r="M151" i="16" s="1"/>
  <c r="V151" i="16" s="1"/>
  <c r="V152" i="16" s="1"/>
  <c r="I151" i="16"/>
  <c r="O145" i="16"/>
  <c r="E145" i="16"/>
  <c r="C145" i="16"/>
  <c r="O144" i="16"/>
  <c r="E144" i="16"/>
  <c r="D144" i="16"/>
  <c r="L144" i="16" s="1"/>
  <c r="U144" i="16" s="1"/>
  <c r="C144" i="16"/>
  <c r="B125" i="16"/>
  <c r="B124" i="16"/>
  <c r="B123" i="16"/>
  <c r="B122" i="16"/>
  <c r="A125" i="16"/>
  <c r="A124" i="16"/>
  <c r="A123" i="16"/>
  <c r="A122" i="16"/>
  <c r="C117" i="16"/>
  <c r="G85" i="16"/>
  <c r="B145" i="16" s="1"/>
  <c r="C81" i="16"/>
  <c r="G84" i="16" s="1"/>
  <c r="B144" i="16" s="1"/>
  <c r="F85" i="16"/>
  <c r="D145" i="16" s="1"/>
  <c r="F84" i="16"/>
  <c r="F83" i="16"/>
  <c r="D143" i="16" s="1"/>
  <c r="I143" i="16" s="1"/>
  <c r="R143" i="16" s="1"/>
  <c r="E36" i="16"/>
  <c r="E35" i="16"/>
  <c r="E34" i="16"/>
  <c r="D36" i="16"/>
  <c r="D35" i="16"/>
  <c r="E124" i="16" s="1"/>
  <c r="D34" i="16"/>
  <c r="E123" i="16" s="1"/>
  <c r="C172" i="16"/>
  <c r="E172" i="16" s="1"/>
  <c r="B172" i="16"/>
  <c r="C168" i="16"/>
  <c r="E168" i="16" s="1"/>
  <c r="H193" i="16" s="1"/>
  <c r="D163" i="16"/>
  <c r="D162" i="16"/>
  <c r="D161" i="16"/>
  <c r="D160" i="16"/>
  <c r="D159" i="16"/>
  <c r="D158" i="16"/>
  <c r="D157" i="16"/>
  <c r="O143" i="16"/>
  <c r="E143" i="16"/>
  <c r="C143" i="16"/>
  <c r="C146" i="16" s="1"/>
  <c r="L137" i="16"/>
  <c r="K137" i="16"/>
  <c r="J137" i="16"/>
  <c r="I137" i="16"/>
  <c r="H137" i="16"/>
  <c r="G137" i="16"/>
  <c r="O136" i="16"/>
  <c r="D136" i="16"/>
  <c r="J136" i="16" s="1"/>
  <c r="B136" i="16"/>
  <c r="J125" i="16"/>
  <c r="H117" i="16"/>
  <c r="C112" i="16"/>
  <c r="D117" i="16" s="1"/>
  <c r="C94" i="16"/>
  <c r="B168" i="16" s="1"/>
  <c r="G63" i="16"/>
  <c r="D63" i="16"/>
  <c r="F125" i="16" s="1"/>
  <c r="G57" i="16"/>
  <c r="D57" i="16"/>
  <c r="F124" i="16" s="1"/>
  <c r="K124" i="16" s="1"/>
  <c r="G51" i="16"/>
  <c r="D51" i="16"/>
  <c r="G45" i="16"/>
  <c r="D45" i="16"/>
  <c r="F122" i="16" s="1"/>
  <c r="O148" i="15"/>
  <c r="C49" i="15"/>
  <c r="C48" i="15"/>
  <c r="C47" i="15"/>
  <c r="C46" i="15"/>
  <c r="E16" i="16"/>
  <c r="D33" i="16" s="1"/>
  <c r="E122" i="16" s="1"/>
  <c r="D16" i="16"/>
  <c r="B33" i="16" s="1"/>
  <c r="C41" i="16" s="1"/>
  <c r="D11" i="16"/>
  <c r="D10" i="16"/>
  <c r="B36" i="16" s="1"/>
  <c r="C59" i="16" s="1"/>
  <c r="D9" i="16"/>
  <c r="B35" i="16" s="1"/>
  <c r="C53" i="16" s="1"/>
  <c r="D8" i="16"/>
  <c r="B34" i="16" s="1"/>
  <c r="C47" i="16" s="1"/>
  <c r="C182" i="15"/>
  <c r="E182" i="15" s="1"/>
  <c r="H204" i="15" s="1"/>
  <c r="B182" i="15"/>
  <c r="O161" i="15"/>
  <c r="E161" i="15"/>
  <c r="D161" i="15"/>
  <c r="I161" i="15" s="1"/>
  <c r="C161" i="15"/>
  <c r="C162" i="15" s="1"/>
  <c r="B161" i="15"/>
  <c r="B148" i="15"/>
  <c r="K137" i="15"/>
  <c r="H129" i="15"/>
  <c r="C129" i="15"/>
  <c r="G76" i="15"/>
  <c r="D76" i="15"/>
  <c r="G137" i="15" s="1"/>
  <c r="G70" i="15"/>
  <c r="D70" i="15"/>
  <c r="G136" i="15" s="1"/>
  <c r="G64" i="15"/>
  <c r="D64" i="15"/>
  <c r="C178" i="15"/>
  <c r="E178" i="15" s="1"/>
  <c r="H203" i="15" s="1"/>
  <c r="D173" i="15"/>
  <c r="D172" i="15"/>
  <c r="D171" i="15"/>
  <c r="D170" i="15"/>
  <c r="D169" i="15"/>
  <c r="D168" i="15"/>
  <c r="D167" i="15"/>
  <c r="O155" i="15"/>
  <c r="E155" i="15"/>
  <c r="D155" i="15"/>
  <c r="I155" i="15" s="1"/>
  <c r="C155" i="15"/>
  <c r="C156" i="15" s="1"/>
  <c r="L149" i="15"/>
  <c r="U149" i="15" s="1"/>
  <c r="K149" i="15"/>
  <c r="T149" i="15" s="1"/>
  <c r="J149" i="15"/>
  <c r="S149" i="15" s="1"/>
  <c r="I149" i="15"/>
  <c r="H149" i="15"/>
  <c r="Q149" i="15" s="1"/>
  <c r="G149" i="15"/>
  <c r="P149" i="15" s="1"/>
  <c r="D148" i="15"/>
  <c r="I148" i="15" s="1"/>
  <c r="D137" i="15"/>
  <c r="C137" i="15"/>
  <c r="B137" i="15"/>
  <c r="A137" i="15"/>
  <c r="D136" i="15"/>
  <c r="C136" i="15"/>
  <c r="B136" i="15"/>
  <c r="A136" i="15"/>
  <c r="D135" i="15"/>
  <c r="C135" i="15"/>
  <c r="B135" i="15"/>
  <c r="A135" i="15"/>
  <c r="J134" i="15"/>
  <c r="I134" i="15"/>
  <c r="H134" i="15"/>
  <c r="D134" i="15"/>
  <c r="C134" i="15"/>
  <c r="B134" i="15"/>
  <c r="A134" i="15"/>
  <c r="C124" i="15"/>
  <c r="D129" i="15" s="1"/>
  <c r="G96" i="15"/>
  <c r="B155" i="15" s="1"/>
  <c r="G58" i="15"/>
  <c r="D58" i="15"/>
  <c r="G134" i="15" s="1"/>
  <c r="I46" i="15"/>
  <c r="H46" i="15"/>
  <c r="D31" i="15"/>
  <c r="D30" i="15"/>
  <c r="D29" i="15"/>
  <c r="D28" i="15"/>
  <c r="D27" i="15"/>
  <c r="E137" i="15" s="1"/>
  <c r="D26" i="15"/>
  <c r="E136" i="15" s="1"/>
  <c r="D25" i="15"/>
  <c r="E135" i="15" s="1"/>
  <c r="D24" i="15"/>
  <c r="E134" i="15" s="1"/>
  <c r="J19" i="15"/>
  <c r="H28" i="15" s="1"/>
  <c r="I19" i="15"/>
  <c r="G29" i="15" s="1"/>
  <c r="H19" i="15"/>
  <c r="F30" i="15" s="1"/>
  <c r="G19" i="15"/>
  <c r="I15" i="15"/>
  <c r="K15" i="15" s="1"/>
  <c r="H15" i="15"/>
  <c r="J15" i="15" s="1"/>
  <c r="H222" i="20" l="1"/>
  <c r="I204" i="20"/>
  <c r="I222" i="20" s="1"/>
  <c r="J222" i="20" s="1"/>
  <c r="I253" i="20"/>
  <c r="H254" i="20" s="1"/>
  <c r="B49" i="15"/>
  <c r="F170" i="15"/>
  <c r="G170" i="15"/>
  <c r="F171" i="15"/>
  <c r="G171" i="15"/>
  <c r="F173" i="15"/>
  <c r="G173" i="15"/>
  <c r="F167" i="15"/>
  <c r="G167" i="15"/>
  <c r="B46" i="15"/>
  <c r="G168" i="15"/>
  <c r="F168" i="15"/>
  <c r="B47" i="15"/>
  <c r="F172" i="15"/>
  <c r="G172" i="15"/>
  <c r="F169" i="15"/>
  <c r="G169" i="15"/>
  <c r="B48" i="15"/>
  <c r="I195" i="16"/>
  <c r="K196" i="16" s="1"/>
  <c r="D102" i="19"/>
  <c r="D117" i="18"/>
  <c r="S136" i="18"/>
  <c r="S138" i="18" s="1"/>
  <c r="N137" i="18"/>
  <c r="L145" i="18"/>
  <c r="U145" i="18" s="1"/>
  <c r="G144" i="18"/>
  <c r="M144" i="18" s="1"/>
  <c r="V144" i="18" s="1"/>
  <c r="L144" i="18"/>
  <c r="U144" i="18" s="1"/>
  <c r="B117" i="18"/>
  <c r="J117" i="18" s="1"/>
  <c r="L136" i="18"/>
  <c r="R136" i="18"/>
  <c r="R138" i="18" s="1"/>
  <c r="D122" i="18"/>
  <c r="L143" i="18"/>
  <c r="U143" i="18" s="1"/>
  <c r="H143" i="18"/>
  <c r="Q143" i="18" s="1"/>
  <c r="G143" i="18"/>
  <c r="K143" i="18"/>
  <c r="T143" i="18" s="1"/>
  <c r="J143" i="18"/>
  <c r="S143" i="18" s="1"/>
  <c r="I143" i="18"/>
  <c r="R143" i="18" s="1"/>
  <c r="C136" i="18"/>
  <c r="C138" i="18" s="1"/>
  <c r="F122" i="18"/>
  <c r="K122" i="18" s="1"/>
  <c r="L122" i="18" s="1"/>
  <c r="M122" i="18" s="1"/>
  <c r="E123" i="18"/>
  <c r="L123" i="18" s="1"/>
  <c r="M123" i="18" s="1"/>
  <c r="H144" i="18"/>
  <c r="Q144" i="18" s="1"/>
  <c r="M145" i="18"/>
  <c r="V145" i="18" s="1"/>
  <c r="D124" i="18"/>
  <c r="K117" i="18"/>
  <c r="M125" i="18"/>
  <c r="U136" i="18"/>
  <c r="U138" i="18" s="1"/>
  <c r="Q136" i="18"/>
  <c r="Q138" i="18" s="1"/>
  <c r="J144" i="18"/>
  <c r="S144" i="18" s="1"/>
  <c r="Q145" i="18"/>
  <c r="P145" i="18"/>
  <c r="G85" i="18"/>
  <c r="B145" i="18" s="1"/>
  <c r="G83" i="18"/>
  <c r="B143" i="18" s="1"/>
  <c r="J145" i="18"/>
  <c r="S145" i="18" s="1"/>
  <c r="I145" i="18"/>
  <c r="R145" i="18" s="1"/>
  <c r="K136" i="18"/>
  <c r="P136" i="18"/>
  <c r="P138" i="18" s="1"/>
  <c r="V136" i="18"/>
  <c r="V138" i="18" s="1"/>
  <c r="K144" i="18"/>
  <c r="T144" i="18" s="1"/>
  <c r="K145" i="18"/>
  <c r="T145" i="18" s="1"/>
  <c r="L151" i="18"/>
  <c r="U151" i="18" s="1"/>
  <c r="U152" i="18" s="1"/>
  <c r="H151" i="18"/>
  <c r="Q151" i="18" s="1"/>
  <c r="Q152" i="18" s="1"/>
  <c r="K151" i="18"/>
  <c r="T151" i="18" s="1"/>
  <c r="T152" i="18" s="1"/>
  <c r="G151" i="18"/>
  <c r="G164" i="18"/>
  <c r="H199" i="18" s="1"/>
  <c r="C99" i="17"/>
  <c r="B172" i="17" s="1"/>
  <c r="D123" i="17"/>
  <c r="D117" i="17"/>
  <c r="B117" i="17"/>
  <c r="I196" i="17"/>
  <c r="E123" i="17"/>
  <c r="M123" i="17" s="1"/>
  <c r="N123" i="17" s="1"/>
  <c r="D125" i="17"/>
  <c r="C136" i="17"/>
  <c r="C138" i="17" s="1"/>
  <c r="M124" i="17"/>
  <c r="N124" i="17" s="1"/>
  <c r="G85" i="17"/>
  <c r="B145" i="17" s="1"/>
  <c r="G83" i="17"/>
  <c r="B143" i="17" s="1"/>
  <c r="J145" i="17"/>
  <c r="S145" i="17" s="1"/>
  <c r="L145" i="17"/>
  <c r="U145" i="17" s="1"/>
  <c r="I145" i="17"/>
  <c r="R145" i="17" s="1"/>
  <c r="H145" i="17"/>
  <c r="Q145" i="17" s="1"/>
  <c r="L125" i="17"/>
  <c r="M125" i="17" s="1"/>
  <c r="N125" i="17" s="1"/>
  <c r="I136" i="17"/>
  <c r="R136" i="17" s="1"/>
  <c r="R138" i="17" s="1"/>
  <c r="K136" i="17"/>
  <c r="G136" i="17"/>
  <c r="L136" i="17"/>
  <c r="U136" i="17" s="1"/>
  <c r="U138" i="17" s="1"/>
  <c r="H136" i="17"/>
  <c r="Q136" i="17" s="1"/>
  <c r="Q138" i="17" s="1"/>
  <c r="L143" i="17"/>
  <c r="U143" i="17" s="1"/>
  <c r="H143" i="17"/>
  <c r="Q143" i="17" s="1"/>
  <c r="J143" i="17"/>
  <c r="S143" i="17" s="1"/>
  <c r="K143" i="17"/>
  <c r="T143" i="17" s="1"/>
  <c r="T146" i="17" s="1"/>
  <c r="G143" i="17"/>
  <c r="L151" i="17"/>
  <c r="U151" i="17" s="1"/>
  <c r="U152" i="17" s="1"/>
  <c r="H151" i="17"/>
  <c r="Q151" i="17" s="1"/>
  <c r="Q152" i="17" s="1"/>
  <c r="J151" i="17"/>
  <c r="S151" i="17" s="1"/>
  <c r="S152" i="17" s="1"/>
  <c r="K151" i="17"/>
  <c r="T151" i="17" s="1"/>
  <c r="T152" i="17" s="1"/>
  <c r="G151" i="17"/>
  <c r="D122" i="17"/>
  <c r="J136" i="17"/>
  <c r="S136" i="17" s="1"/>
  <c r="S138" i="17" s="1"/>
  <c r="D124" i="17"/>
  <c r="K117" i="17"/>
  <c r="E122" i="17"/>
  <c r="I195" i="17"/>
  <c r="I144" i="17"/>
  <c r="R144" i="17" s="1"/>
  <c r="K144" i="17"/>
  <c r="T144" i="17" s="1"/>
  <c r="L144" i="17"/>
  <c r="U144" i="17" s="1"/>
  <c r="H144" i="17"/>
  <c r="Q144" i="17" s="1"/>
  <c r="G144" i="17"/>
  <c r="I143" i="17"/>
  <c r="R143" i="17" s="1"/>
  <c r="J144" i="17"/>
  <c r="S144" i="17" s="1"/>
  <c r="G145" i="17"/>
  <c r="I151" i="17"/>
  <c r="R151" i="17" s="1"/>
  <c r="R152" i="17" s="1"/>
  <c r="F122" i="17"/>
  <c r="L122" i="17" s="1"/>
  <c r="T136" i="17"/>
  <c r="T138" i="17" s="1"/>
  <c r="I145" i="16"/>
  <c r="R145" i="16" s="1"/>
  <c r="L145" i="16"/>
  <c r="U145" i="16" s="1"/>
  <c r="G145" i="16"/>
  <c r="K145" i="16"/>
  <c r="T145" i="16" s="1"/>
  <c r="J145" i="16"/>
  <c r="S145" i="16" s="1"/>
  <c r="H145" i="16"/>
  <c r="Q145" i="16" s="1"/>
  <c r="R146" i="16"/>
  <c r="D122" i="16"/>
  <c r="J117" i="16"/>
  <c r="G83" i="16"/>
  <c r="B143" i="16" s="1"/>
  <c r="H151" i="16"/>
  <c r="Q151" i="16" s="1"/>
  <c r="Q152" i="16" s="1"/>
  <c r="D123" i="16"/>
  <c r="F123" i="16"/>
  <c r="K123" i="16" s="1"/>
  <c r="L123" i="16" s="1"/>
  <c r="M123" i="16" s="1"/>
  <c r="D124" i="16"/>
  <c r="R151" i="16"/>
  <c r="R152" i="16" s="1"/>
  <c r="N151" i="16"/>
  <c r="P151" i="16"/>
  <c r="J144" i="16"/>
  <c r="S144" i="16" s="1"/>
  <c r="G144" i="16"/>
  <c r="P144" i="16" s="1"/>
  <c r="K144" i="16"/>
  <c r="T144" i="16" s="1"/>
  <c r="I144" i="16"/>
  <c r="R144" i="16" s="1"/>
  <c r="H144" i="16"/>
  <c r="Q144" i="16" s="1"/>
  <c r="G136" i="16"/>
  <c r="P136" i="16" s="1"/>
  <c r="P138" i="16" s="1"/>
  <c r="K136" i="16"/>
  <c r="T136" i="16" s="1"/>
  <c r="T138" i="16" s="1"/>
  <c r="M137" i="16"/>
  <c r="L124" i="16"/>
  <c r="M124" i="16" s="1"/>
  <c r="K125" i="16"/>
  <c r="L125" i="16" s="1"/>
  <c r="M125" i="16" s="1"/>
  <c r="K143" i="16"/>
  <c r="T143" i="16" s="1"/>
  <c r="G143" i="16"/>
  <c r="J143" i="16"/>
  <c r="S143" i="16" s="1"/>
  <c r="S146" i="16" s="1"/>
  <c r="B117" i="16"/>
  <c r="I117" i="16" s="1"/>
  <c r="G164" i="16"/>
  <c r="H198" i="16" s="1"/>
  <c r="K122" i="16"/>
  <c r="L122" i="16" s="1"/>
  <c r="M122" i="16" s="1"/>
  <c r="S136" i="16"/>
  <c r="S138" i="16" s="1"/>
  <c r="H186" i="16" s="1"/>
  <c r="N137" i="16"/>
  <c r="H136" i="16"/>
  <c r="L136" i="16"/>
  <c r="U136" i="16" s="1"/>
  <c r="U138" i="16" s="1"/>
  <c r="H188" i="16" s="1"/>
  <c r="I136" i="16"/>
  <c r="R136" i="16" s="1"/>
  <c r="R138" i="16" s="1"/>
  <c r="Q136" i="16"/>
  <c r="Q138" i="16" s="1"/>
  <c r="H143" i="16"/>
  <c r="Q143" i="16" s="1"/>
  <c r="L143" i="16"/>
  <c r="U143" i="16" s="1"/>
  <c r="U146" i="16" s="1"/>
  <c r="B129" i="15"/>
  <c r="I129" i="15" s="1"/>
  <c r="R161" i="15"/>
  <c r="K161" i="15"/>
  <c r="T161" i="15" s="1"/>
  <c r="L137" i="15"/>
  <c r="G135" i="15"/>
  <c r="G161" i="15"/>
  <c r="P161" i="15" s="1"/>
  <c r="J161" i="15"/>
  <c r="S161" i="15" s="1"/>
  <c r="H161" i="15"/>
  <c r="Q161" i="15" s="1"/>
  <c r="L161" i="15"/>
  <c r="U161" i="15" s="1"/>
  <c r="C106" i="15"/>
  <c r="B178" i="15" s="1"/>
  <c r="C54" i="15"/>
  <c r="C66" i="15"/>
  <c r="C60" i="15"/>
  <c r="E28" i="15"/>
  <c r="C72" i="15"/>
  <c r="E26" i="15"/>
  <c r="F136" i="15" s="1"/>
  <c r="H155" i="15"/>
  <c r="Q155" i="15" s="1"/>
  <c r="R148" i="15"/>
  <c r="E25" i="15"/>
  <c r="F135" i="15" s="1"/>
  <c r="E30" i="15"/>
  <c r="G26" i="15"/>
  <c r="D48" i="15" s="1"/>
  <c r="J155" i="15"/>
  <c r="H25" i="15"/>
  <c r="E47" i="15" s="1"/>
  <c r="H26" i="15"/>
  <c r="E48" i="15" s="1"/>
  <c r="M149" i="15"/>
  <c r="V149" i="15" s="1"/>
  <c r="K155" i="15"/>
  <c r="E24" i="15"/>
  <c r="F134" i="15" s="1"/>
  <c r="E29" i="15"/>
  <c r="G155" i="15"/>
  <c r="L155" i="15"/>
  <c r="R155" i="15"/>
  <c r="H29" i="15"/>
  <c r="G30" i="15"/>
  <c r="F31" i="15"/>
  <c r="J148" i="15"/>
  <c r="S148" i="15" s="1"/>
  <c r="S150" i="15" s="1"/>
  <c r="R149" i="15"/>
  <c r="H30" i="15"/>
  <c r="G31" i="15"/>
  <c r="G148" i="15"/>
  <c r="P148" i="15" s="1"/>
  <c r="P150" i="15" s="1"/>
  <c r="K148" i="15"/>
  <c r="T148" i="15" s="1"/>
  <c r="T150" i="15" s="1"/>
  <c r="H31" i="15"/>
  <c r="H148" i="15"/>
  <c r="Q148" i="15" s="1"/>
  <c r="Q150" i="15" s="1"/>
  <c r="L148" i="15"/>
  <c r="U148" i="15" s="1"/>
  <c r="U150" i="15" s="1"/>
  <c r="F27" i="15"/>
  <c r="F24" i="15"/>
  <c r="G27" i="15"/>
  <c r="D49" i="15" s="1"/>
  <c r="F28" i="15"/>
  <c r="G24" i="15"/>
  <c r="D46" i="15" s="1"/>
  <c r="F25" i="15"/>
  <c r="H27" i="15"/>
  <c r="E49" i="15" s="1"/>
  <c r="G28" i="15"/>
  <c r="F29" i="15"/>
  <c r="H24" i="15"/>
  <c r="E46" i="15" s="1"/>
  <c r="G25" i="15"/>
  <c r="D47" i="15" s="1"/>
  <c r="F26" i="15"/>
  <c r="E27" i="15"/>
  <c r="F137" i="15" s="1"/>
  <c r="E31" i="15"/>
  <c r="M161" i="15" l="1"/>
  <c r="V161" i="15" s="1"/>
  <c r="W161" i="15" s="1"/>
  <c r="H194" i="15"/>
  <c r="I205" i="15"/>
  <c r="J129" i="15"/>
  <c r="K117" i="16"/>
  <c r="L117" i="16" s="1"/>
  <c r="N136" i="18"/>
  <c r="W136" i="18" s="1"/>
  <c r="U146" i="18"/>
  <c r="S146" i="18"/>
  <c r="I206" i="18" s="1"/>
  <c r="P144" i="18"/>
  <c r="W144" i="18" s="1"/>
  <c r="T136" i="18"/>
  <c r="T138" i="18" s="1"/>
  <c r="L117" i="18"/>
  <c r="C176" i="18" s="1"/>
  <c r="E176" i="18" s="1"/>
  <c r="N144" i="18"/>
  <c r="W145" i="18"/>
  <c r="F164" i="18"/>
  <c r="H192" i="18" s="1"/>
  <c r="T146" i="18"/>
  <c r="H187" i="18" s="1"/>
  <c r="P151" i="18"/>
  <c r="M151" i="18"/>
  <c r="V151" i="18" s="1"/>
  <c r="V152" i="18" s="1"/>
  <c r="I208" i="18"/>
  <c r="H188" i="18"/>
  <c r="H186" i="18"/>
  <c r="P143" i="18"/>
  <c r="M143" i="18"/>
  <c r="V143" i="18" s="1"/>
  <c r="V146" i="18" s="1"/>
  <c r="N145" i="18"/>
  <c r="R146" i="18"/>
  <c r="Q146" i="18"/>
  <c r="I204" i="18" s="1"/>
  <c r="S146" i="17"/>
  <c r="L117" i="17"/>
  <c r="M117" i="17" s="1"/>
  <c r="M122" i="17"/>
  <c r="N122" i="17" s="1"/>
  <c r="I205" i="17"/>
  <c r="H186" i="17"/>
  <c r="M144" i="17"/>
  <c r="V144" i="17" s="1"/>
  <c r="P144" i="17"/>
  <c r="W144" i="17" s="1"/>
  <c r="M145" i="17"/>
  <c r="V145" i="17" s="1"/>
  <c r="P145" i="17"/>
  <c r="W145" i="17" s="1"/>
  <c r="F164" i="17"/>
  <c r="H192" i="17" s="1"/>
  <c r="H187" i="17"/>
  <c r="I206" i="17"/>
  <c r="P151" i="17"/>
  <c r="M151" i="17"/>
  <c r="V151" i="17" s="1"/>
  <c r="V152" i="17" s="1"/>
  <c r="Q146" i="17"/>
  <c r="I203" i="17" s="1"/>
  <c r="M136" i="17"/>
  <c r="V136" i="17" s="1"/>
  <c r="V138" i="17" s="1"/>
  <c r="G164" i="17"/>
  <c r="H198" i="17" s="1"/>
  <c r="P136" i="17"/>
  <c r="P138" i="17" s="1"/>
  <c r="R146" i="17"/>
  <c r="I204" i="17" s="1"/>
  <c r="P143" i="17"/>
  <c r="M143" i="17"/>
  <c r="V143" i="17" s="1"/>
  <c r="V146" i="17" s="1"/>
  <c r="U146" i="17"/>
  <c r="I207" i="17" s="1"/>
  <c r="W151" i="16"/>
  <c r="W152" i="16" s="1"/>
  <c r="P152" i="16"/>
  <c r="M136" i="16"/>
  <c r="V136" i="16" s="1"/>
  <c r="V138" i="16" s="1"/>
  <c r="T146" i="16"/>
  <c r="H187" i="16"/>
  <c r="M145" i="16"/>
  <c r="V145" i="16" s="1"/>
  <c r="P145" i="16"/>
  <c r="Q146" i="16"/>
  <c r="H184" i="16" s="1"/>
  <c r="H185" i="16"/>
  <c r="C136" i="16"/>
  <c r="C138" i="16" s="1"/>
  <c r="M143" i="16"/>
  <c r="V143" i="16" s="1"/>
  <c r="P143" i="16"/>
  <c r="P146" i="16" s="1"/>
  <c r="H183" i="16" s="1"/>
  <c r="Y151" i="16"/>
  <c r="Y152" i="16" s="1"/>
  <c r="M144" i="16"/>
  <c r="V144" i="16" s="1"/>
  <c r="N136" i="16"/>
  <c r="W136" i="16" s="1"/>
  <c r="F164" i="16"/>
  <c r="H192" i="16" s="1"/>
  <c r="M196" i="16" s="1"/>
  <c r="N143" i="16"/>
  <c r="C148" i="15"/>
  <c r="C150" i="15" s="1"/>
  <c r="I212" i="15"/>
  <c r="H228" i="15" s="1"/>
  <c r="M155" i="15"/>
  <c r="N155" i="15" s="1"/>
  <c r="P155" i="15"/>
  <c r="H193" i="15" s="1"/>
  <c r="R150" i="15"/>
  <c r="H195" i="15" s="1"/>
  <c r="G174" i="15"/>
  <c r="H207" i="15" s="1"/>
  <c r="U155" i="15"/>
  <c r="H198" i="15" s="1"/>
  <c r="S155" i="15"/>
  <c r="I214" i="15" s="1"/>
  <c r="H236" i="15" s="1"/>
  <c r="N149" i="15"/>
  <c r="W149" i="15" s="1"/>
  <c r="T155" i="15"/>
  <c r="L135" i="15"/>
  <c r="F174" i="15"/>
  <c r="H202" i="15" s="1"/>
  <c r="M148" i="15"/>
  <c r="V148" i="15" s="1"/>
  <c r="V150" i="15" s="1"/>
  <c r="L134" i="15"/>
  <c r="L136" i="15"/>
  <c r="N161" i="15" l="1"/>
  <c r="C176" i="16"/>
  <c r="E176" i="16" s="1"/>
  <c r="I201" i="16" s="1"/>
  <c r="I216" i="15"/>
  <c r="H244" i="15" s="1"/>
  <c r="H196" i="15"/>
  <c r="V155" i="15"/>
  <c r="H199" i="15" s="1"/>
  <c r="I220" i="15" s="1"/>
  <c r="Y161" i="15"/>
  <c r="X161" i="15"/>
  <c r="N196" i="16"/>
  <c r="O196" i="16" s="1"/>
  <c r="P196" i="16" s="1"/>
  <c r="M117" i="18"/>
  <c r="I209" i="18"/>
  <c r="N151" i="18"/>
  <c r="N143" i="18"/>
  <c r="H184" i="18"/>
  <c r="Y144" i="18"/>
  <c r="X144" i="18"/>
  <c r="H185" i="18"/>
  <c r="I205" i="18"/>
  <c r="Y145" i="18"/>
  <c r="X145" i="18"/>
  <c r="I207" i="18"/>
  <c r="P146" i="18"/>
  <c r="W143" i="18"/>
  <c r="P152" i="18"/>
  <c r="W151" i="18"/>
  <c r="C176" i="17"/>
  <c r="E176" i="17" s="1"/>
  <c r="H189" i="17"/>
  <c r="I208" i="17"/>
  <c r="P152" i="17"/>
  <c r="W151" i="17"/>
  <c r="Y145" i="17"/>
  <c r="X145" i="17"/>
  <c r="H185" i="17"/>
  <c r="Y144" i="17"/>
  <c r="X144" i="17"/>
  <c r="H188" i="17"/>
  <c r="N143" i="17"/>
  <c r="N145" i="17"/>
  <c r="H184" i="17"/>
  <c r="W143" i="17"/>
  <c r="P146" i="17"/>
  <c r="H183" i="17" s="1"/>
  <c r="N136" i="17"/>
  <c r="W136" i="17" s="1"/>
  <c r="N151" i="17"/>
  <c r="N144" i="17"/>
  <c r="N145" i="16"/>
  <c r="N144" i="16"/>
  <c r="W143" i="16"/>
  <c r="X151" i="16"/>
  <c r="X152" i="16" s="1"/>
  <c r="V146" i="16"/>
  <c r="W145" i="16"/>
  <c r="H189" i="16"/>
  <c r="W144" i="16"/>
  <c r="H212" i="16"/>
  <c r="I215" i="15"/>
  <c r="H240" i="15" s="1"/>
  <c r="I217" i="15"/>
  <c r="H248" i="15" s="1"/>
  <c r="I213" i="15"/>
  <c r="H232" i="15" s="1"/>
  <c r="W155" i="15"/>
  <c r="N148" i="15"/>
  <c r="W148" i="15" s="1"/>
  <c r="M135" i="15"/>
  <c r="N135" i="15" s="1"/>
  <c r="M134" i="15"/>
  <c r="N134" i="15" s="1"/>
  <c r="M136" i="15"/>
  <c r="N136" i="15" s="1"/>
  <c r="H183" i="18" l="1"/>
  <c r="I212" i="18" s="1"/>
  <c r="I213" i="18" s="1"/>
  <c r="X151" i="18"/>
  <c r="X152" i="18" s="1"/>
  <c r="W152" i="18"/>
  <c r="Y151" i="18"/>
  <c r="Y152" i="18" s="1"/>
  <c r="W146" i="18"/>
  <c r="X143" i="18"/>
  <c r="X146" i="18" s="1"/>
  <c r="Y143" i="18"/>
  <c r="Y146" i="18" s="1"/>
  <c r="I211" i="17"/>
  <c r="I212" i="17" s="1"/>
  <c r="X151" i="17"/>
  <c r="X152" i="17" s="1"/>
  <c r="W152" i="17"/>
  <c r="Y151" i="17"/>
  <c r="Y152" i="17" s="1"/>
  <c r="W146" i="17"/>
  <c r="X143" i="17"/>
  <c r="X146" i="17" s="1"/>
  <c r="Y143" i="17"/>
  <c r="Y146" i="17" s="1"/>
  <c r="W146" i="16"/>
  <c r="X143" i="16"/>
  <c r="X145" i="16"/>
  <c r="Y145" i="16"/>
  <c r="Y143" i="16"/>
  <c r="I211" i="16"/>
  <c r="I212" i="16" s="1"/>
  <c r="X144" i="16"/>
  <c r="Y144" i="16"/>
  <c r="I221" i="15"/>
  <c r="H219" i="15"/>
  <c r="H221" i="15" s="1"/>
  <c r="Y155" i="15"/>
  <c r="I200" i="15" s="1"/>
  <c r="I218" i="15" s="1"/>
  <c r="X155" i="15"/>
  <c r="K129" i="15"/>
  <c r="C186" i="15" s="1"/>
  <c r="I210" i="18" l="1"/>
  <c r="H210" i="18"/>
  <c r="H211" i="18"/>
  <c r="H213" i="18" s="1"/>
  <c r="H210" i="17"/>
  <c r="H212" i="17" s="1"/>
  <c r="H199" i="17"/>
  <c r="H209" i="17" s="1"/>
  <c r="I190" i="17"/>
  <c r="I209" i="17" s="1"/>
  <c r="X146" i="16"/>
  <c r="Y146" i="16"/>
  <c r="H208" i="15"/>
  <c r="M137" i="15"/>
  <c r="N137" i="15" s="1"/>
  <c r="L129" i="15"/>
  <c r="E186" i="15"/>
  <c r="H210" i="15" s="1"/>
  <c r="H218" i="15" l="1"/>
  <c r="J218" i="15" s="1"/>
  <c r="J210" i="18"/>
  <c r="J209" i="17"/>
  <c r="H199" i="16"/>
  <c r="H209" i="16" s="1"/>
  <c r="I190" i="16"/>
  <c r="I209" i="16" s="1"/>
  <c r="J209" i="16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B46" authorId="0" shapeId="0" xr:uid="{7A311D61-87A8-4B9F-9540-68D16D8185C5}">
      <text>
        <r>
          <rPr>
            <b/>
            <sz val="9"/>
            <color indexed="81"/>
            <rFont val="Tahoma"/>
            <family val="2"/>
          </rPr>
          <t>Pilih Pakai Pack Yang mana</t>
        </r>
      </text>
    </comment>
    <comment ref="C116" authorId="0" shapeId="0" xr:uid="{D44EB3B1-3216-4E63-8A9A-DD358ABFFAC1}">
      <text>
        <r>
          <rPr>
            <b/>
            <sz val="9"/>
            <color indexed="81"/>
            <rFont val="Tahoma"/>
            <family val="2"/>
          </rPr>
          <t>HFG : Tong Coil dipisah dari Scrap, jual per Pcs
Struktur data base ada inventory tong coil</t>
        </r>
      </text>
    </comment>
    <comment ref="J128" authorId="0" shapeId="0" xr:uid="{B96718FD-1DF8-4852-8E78-1684D5881230}">
      <text>
        <r>
          <rPr>
            <b/>
            <sz val="9"/>
            <color indexed="81"/>
            <rFont val="Tahoma"/>
            <family val="2"/>
          </rPr>
          <t>Total 4 baby coil berdasarkan Packing List</t>
        </r>
      </text>
    </comment>
    <comment ref="F166" authorId="0" shapeId="0" xr:uid="{616F0523-8AC1-4EF0-AF5C-BADD97A8F16F}">
      <text>
        <r>
          <rPr>
            <b/>
            <sz val="9"/>
            <color indexed="81"/>
            <rFont val="Tahoma"/>
            <family val="2"/>
          </rPr>
          <t>HFG :</t>
        </r>
        <r>
          <rPr>
            <sz val="9"/>
            <color indexed="81"/>
            <rFont val="Tahoma"/>
            <family val="2"/>
          </rPr>
          <t xml:space="preserve">
Inventory Value : 40%
FOH Biaya : 60%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B50" authorId="0" shapeId="0" xr:uid="{A70E1D09-FC46-432F-B6F3-D40B2AC8E2FF}">
      <text>
        <r>
          <rPr>
            <b/>
            <sz val="9"/>
            <color indexed="81"/>
            <rFont val="Tahoma"/>
            <family val="2"/>
          </rPr>
          <t>Pilih Pakai Pack Yang mana</t>
        </r>
      </text>
    </comment>
    <comment ref="C120" authorId="0" shapeId="0" xr:uid="{C99742D7-E245-4AE8-9DB8-4FD5AC5C529F}">
      <text>
        <r>
          <rPr>
            <b/>
            <sz val="9"/>
            <color indexed="81"/>
            <rFont val="Tahoma"/>
            <family val="2"/>
          </rPr>
          <t>HFG : Tong Coil dipisah dari Scrap, jual per Pcs
Struktur data base ada inventory tong coil</t>
        </r>
      </text>
    </comment>
    <comment ref="J132" authorId="0" shapeId="0" xr:uid="{F25690FB-3BB8-4A24-98B6-944396DDC05F}">
      <text>
        <r>
          <rPr>
            <b/>
            <sz val="9"/>
            <color indexed="81"/>
            <rFont val="Tahoma"/>
            <family val="2"/>
          </rPr>
          <t>Total 4 baby coil berdasarkan Packing List</t>
        </r>
      </text>
    </comment>
    <comment ref="F170" authorId="0" shapeId="0" xr:uid="{4752F491-2D2A-4CA7-881F-06C700CEBA04}">
      <text>
        <r>
          <rPr>
            <b/>
            <sz val="9"/>
            <color indexed="81"/>
            <rFont val="Tahoma"/>
            <family val="2"/>
          </rPr>
          <t>HFG :</t>
        </r>
        <r>
          <rPr>
            <sz val="9"/>
            <color indexed="81"/>
            <rFont val="Tahoma"/>
            <family val="2"/>
          </rPr>
          <t xml:space="preserve">
Inventory Value : 40%
FOH Biaya : 60%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J116" authorId="0" shapeId="0" xr:uid="{FEF5D537-B1FF-4F7A-8CE5-2596A7F0A666}">
      <text>
        <r>
          <rPr>
            <b/>
            <sz val="9"/>
            <color indexed="81"/>
            <rFont val="Tahoma"/>
            <family val="2"/>
          </rPr>
          <t>Total 4 baby coil berdasarkan Packing List</t>
        </r>
      </text>
    </comment>
    <comment ref="F121" authorId="0" shapeId="0" xr:uid="{94B1ACA0-D702-45BB-BC6B-1DD3036569D4}">
      <text>
        <r>
          <rPr>
            <b/>
            <sz val="9"/>
            <color indexed="81"/>
            <rFont val="Tahoma"/>
            <family val="2"/>
          </rPr>
          <t>Ambil dari data sisa roll baby coil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K116" authorId="0" shapeId="0" xr:uid="{6F9F5F66-8F3A-481F-A7EA-2A13480137D0}">
      <text>
        <r>
          <rPr>
            <b/>
            <sz val="9"/>
            <color indexed="81"/>
            <rFont val="Tahoma"/>
            <family val="2"/>
          </rPr>
          <t>Total 4 baby coil berdasarkan Packing List</t>
        </r>
      </text>
    </comment>
    <comment ref="F121" authorId="0" shapeId="0" xr:uid="{B34A1310-FD1D-487B-A77C-D7C7431040DA}">
      <text>
        <r>
          <rPr>
            <b/>
            <sz val="9"/>
            <color indexed="81"/>
            <rFont val="Tahoma"/>
            <family val="2"/>
          </rPr>
          <t>Ambil dari data sisa roll baby coil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Rama Dan</author>
  </authors>
  <commentList>
    <comment ref="K116" authorId="0" shapeId="0" xr:uid="{C5276BA5-5C68-4C7C-B0AA-BA9EF4F32789}">
      <text>
        <r>
          <rPr>
            <b/>
            <sz val="9"/>
            <color indexed="81"/>
            <rFont val="Tahoma"/>
            <family val="2"/>
          </rPr>
          <t>Total 4 baby coil berdasarkan Packing List</t>
        </r>
      </text>
    </comment>
    <comment ref="F121" authorId="0" shapeId="0" xr:uid="{3FC8DFB9-70CE-4D83-B918-2245807BD4D6}">
      <text>
        <r>
          <rPr>
            <b/>
            <sz val="9"/>
            <color indexed="81"/>
            <rFont val="Tahoma"/>
            <family val="2"/>
          </rPr>
          <t>Ambil dari data sisa roll baby coil</t>
        </r>
      </text>
    </comment>
  </commentList>
</comments>
</file>

<file path=xl/sharedStrings.xml><?xml version="1.0" encoding="utf-8"?>
<sst xmlns="http://schemas.openxmlformats.org/spreadsheetml/2006/main" count="2536" uniqueCount="420">
  <si>
    <t>SPK :</t>
  </si>
  <si>
    <t>Tgl Produksi</t>
  </si>
  <si>
    <t>Mesin</t>
  </si>
  <si>
    <t>Helper Name</t>
  </si>
  <si>
    <t>Setter Name</t>
  </si>
  <si>
    <t>Start Time</t>
  </si>
  <si>
    <t>Finished Time</t>
  </si>
  <si>
    <t>Data Packing List</t>
  </si>
  <si>
    <t>Total Meter</t>
  </si>
  <si>
    <t>Packing (Actual Condition --&gt; Setelah Unpack)</t>
  </si>
  <si>
    <t>Tgl Unpack</t>
  </si>
  <si>
    <t>Kulit</t>
  </si>
  <si>
    <t>Clamp / Ring (kg)</t>
  </si>
  <si>
    <t>Finish Good KW 1</t>
  </si>
  <si>
    <t>Produk 1 :</t>
  </si>
  <si>
    <t>Input Detail Production</t>
  </si>
  <si>
    <t>Produk 1, Material 1 :</t>
  </si>
  <si>
    <t>Add Stok Bebas</t>
  </si>
  <si>
    <t>Stok Bebas 1 :</t>
  </si>
  <si>
    <t>(Select Master Product)</t>
  </si>
  <si>
    <t>Sisa Coil dijadikan produk diluar SPK</t>
  </si>
  <si>
    <t>Pilihan 1 (Total+Qty)</t>
  </si>
  <si>
    <t>Pilihan 2 (Per Pcs+Qty)</t>
  </si>
  <si>
    <t>Pilihan 1 :</t>
  </si>
  <si>
    <t>Qty</t>
  </si>
  <si>
    <t>Berat Total (Kg)</t>
  </si>
  <si>
    <t>Berat/Pcs (Kg)</t>
  </si>
  <si>
    <t>Berat Standard/pcs</t>
  </si>
  <si>
    <t>%Selisih</t>
  </si>
  <si>
    <t>Pilihan 2 :</t>
  </si>
  <si>
    <t>KW 2</t>
  </si>
  <si>
    <t>Internal</t>
  </si>
  <si>
    <t>Add KW 2</t>
  </si>
  <si>
    <t>No</t>
  </si>
  <si>
    <t>Size (m)</t>
  </si>
  <si>
    <t>Qty KW 2</t>
  </si>
  <si>
    <t>Berat Total (kg)</t>
  </si>
  <si>
    <t>Nama KW 2</t>
  </si>
  <si>
    <t>Keterangan</t>
  </si>
  <si>
    <t>Supplier</t>
  </si>
  <si>
    <t>-&gt; Contoh : KW 2 akibat white rust</t>
  </si>
  <si>
    <t>Sisa Coil</t>
  </si>
  <si>
    <t>Total Berat Hold Coil</t>
  </si>
  <si>
    <t>Tong Coil (kg)</t>
  </si>
  <si>
    <t>Reject Product</t>
  </si>
  <si>
    <t>Internal :</t>
  </si>
  <si>
    <t>Supplier :</t>
  </si>
  <si>
    <t>Reject Material Plat</t>
  </si>
  <si>
    <t>Potongan Pisau</t>
  </si>
  <si>
    <t>Finish Good</t>
  </si>
  <si>
    <t>KW2</t>
  </si>
  <si>
    <t>Tong Coil</t>
  </si>
  <si>
    <t>Wrapping</t>
  </si>
  <si>
    <t>Total Sisa Coil (kg)</t>
  </si>
  <si>
    <t>Net weight produksi</t>
  </si>
  <si>
    <t>Net weight packing list</t>
  </si>
  <si>
    <t>Selisih (kg)</t>
  </si>
  <si>
    <t>Selisih (%)
Total Output vs Packing List</t>
  </si>
  <si>
    <t>Hold &amp; Claim</t>
  </si>
  <si>
    <t>Save</t>
  </si>
  <si>
    <t>Note :</t>
  </si>
  <si>
    <t>1. Save bisa di klik apabila tidak ada hold coil</t>
  </si>
  <si>
    <t>2. Hold &amp; Claim bisa di klik apabila ada hold</t>
  </si>
  <si>
    <t>Riyan</t>
  </si>
  <si>
    <t>Abdul</t>
  </si>
  <si>
    <t>Pack</t>
  </si>
  <si>
    <t>--&gt; Muncul POP-UP untuk cek kembali</t>
  </si>
  <si>
    <t>Note : Save Draft untuk memastikan aktual terlebih dahulu atau Approval</t>
  </si>
  <si>
    <t>Komponen Finish Good/Pcs</t>
  </si>
  <si>
    <t>Total Biaya Finish Good</t>
  </si>
  <si>
    <t>Produk</t>
  </si>
  <si>
    <t>Total Weight FG</t>
  </si>
  <si>
    <t>Berat/Pcs (kg)</t>
  </si>
  <si>
    <t>Costbook Material</t>
  </si>
  <si>
    <t>Biaya Material/Pcs</t>
  </si>
  <si>
    <t>FOH 
(Misal : Rp300/Kg)</t>
  </si>
  <si>
    <t>Bahan Pendukung Khusus
(Misal : Rp500/Kg)</t>
  </si>
  <si>
    <t>Consumables
(Misal : Rp200/Kg)</t>
  </si>
  <si>
    <t>Biaya Koordinasi
(Rp200/Kg)</t>
  </si>
  <si>
    <t>Scrap, tong coil, Wrapping
(Misal, 2% dari value material)</t>
  </si>
  <si>
    <t>Finish Good Value/Pcs</t>
  </si>
  <si>
    <t>Qty FG</t>
  </si>
  <si>
    <t>Total Biaya Material</t>
  </si>
  <si>
    <t>FOH</t>
  </si>
  <si>
    <t>Bahan Pendukung Khusus</t>
  </si>
  <si>
    <t>Consumables</t>
  </si>
  <si>
    <t>Biaya Koordinasi</t>
  </si>
  <si>
    <t>Scrap, tong coil, Wrapping</t>
  </si>
  <si>
    <t>Finish Good Value Total</t>
  </si>
  <si>
    <t>Finish Good KW 2 --&gt; Nilai Inventory KW2 Hanya 80%</t>
  </si>
  <si>
    <t>KW 2 (Internal)</t>
  </si>
  <si>
    <t>Qty FG KW 2</t>
  </si>
  <si>
    <t>Bahan Pendukung</t>
  </si>
  <si>
    <t>KW 2 (Supplier)</t>
  </si>
  <si>
    <t>Item</t>
  </si>
  <si>
    <t>Total Weight</t>
  </si>
  <si>
    <t>Costbook Material
(per Kg)</t>
  </si>
  <si>
    <t>Inventory Value
(60%)</t>
  </si>
  <si>
    <t>Beban FOH Scrap, Tong Coil, Wrapping
(40%)</t>
  </si>
  <si>
    <t>Inventory Value
(full)</t>
  </si>
  <si>
    <t>Selisih Berat</t>
  </si>
  <si>
    <t>Jurnal</t>
  </si>
  <si>
    <t>Debit</t>
  </si>
  <si>
    <t>Kredit</t>
  </si>
  <si>
    <t>No Coil</t>
  </si>
  <si>
    <t>Kode Internal</t>
  </si>
  <si>
    <t>Jumlah Coil (Roll)</t>
  </si>
  <si>
    <t>Nett Weight Total</t>
  </si>
  <si>
    <t>Add Report Unpack</t>
  </si>
  <si>
    <t>Detail Laporan Unpack</t>
  </si>
  <si>
    <t>Header Laporan Unpack</t>
  </si>
  <si>
    <t xml:space="preserve">Kode internal </t>
  </si>
  <si>
    <t>jumlah coil (Roll Baby Coil)</t>
  </si>
  <si>
    <t>Add Pack</t>
  </si>
  <si>
    <t>Clamp/ ring</t>
  </si>
  <si>
    <t>Gross weight</t>
  </si>
  <si>
    <t>View Detail</t>
  </si>
  <si>
    <t>Babycoil</t>
  </si>
  <si>
    <t>Net weight per Roll</t>
  </si>
  <si>
    <t>Material</t>
  </si>
  <si>
    <t>Pack 1</t>
  </si>
  <si>
    <t>Laporan Unpack</t>
  </si>
  <si>
    <t>Gross Weight Per Roll</t>
  </si>
  <si>
    <t>Summary Packing List vs Aktual Total Produksi (Total)</t>
  </si>
  <si>
    <t>Summary Report per Pack Material</t>
  </si>
  <si>
    <t>date</t>
  </si>
  <si>
    <t>Kw2 supplier</t>
  </si>
  <si>
    <t>Kw 2 internal</t>
  </si>
  <si>
    <t>Selisih (%)</t>
  </si>
  <si>
    <t>Flow Purchasing, Warehouse dan Produksi untuk Material Sliting</t>
  </si>
  <si>
    <t>Proses Purchasing Import (Slitting)</t>
  </si>
  <si>
    <t>Ketika Input ROS (Packing List dari Supplier sebelum masuk ke Incoming)</t>
  </si>
  <si>
    <t>Saat Proses di Warehoue</t>
  </si>
  <si>
    <t>Saat di Produksi</t>
  </si>
  <si>
    <t>SMI.669150.235.HFG</t>
  </si>
  <si>
    <t>Nett Weight</t>
  </si>
  <si>
    <t>DEBDA0319-T1</t>
  </si>
  <si>
    <t>Laporan Produksi</t>
  </si>
  <si>
    <t>308/VII</t>
  </si>
  <si>
    <t>Canal C</t>
  </si>
  <si>
    <t>Actual Weight</t>
  </si>
  <si>
    <t>Packing List</t>
  </si>
  <si>
    <t>Selisih Actual vs Packing List</t>
  </si>
  <si>
    <t>Net weight Total Actual</t>
  </si>
  <si>
    <t>Gross Weight Total Actual</t>
  </si>
  <si>
    <t>Packing List Weight</t>
  </si>
  <si>
    <t>Gross Weight</t>
  </si>
  <si>
    <t>Simulasi Laporan Unpack dan Produksi Canal C (SPK : 308/VII) --&gt; Pakai separuh Coil</t>
  </si>
  <si>
    <t>Nett weight</t>
  </si>
  <si>
    <t>Nett Weight packing list</t>
  </si>
  <si>
    <t>Gross Weight Packing list</t>
  </si>
  <si>
    <t>KW 2 &amp; Scrap tidak per Coil</t>
  </si>
  <si>
    <t>--&gt; tidak full habis</t>
  </si>
  <si>
    <t>SPK</t>
  </si>
  <si>
    <t>Laporan HPP</t>
  </si>
  <si>
    <t>Canal C75.75 PRE B</t>
  </si>
  <si>
    <t>Man Power
(Misal : Rp400/Kg)</t>
  </si>
  <si>
    <t>Man Power</t>
  </si>
  <si>
    <t>Consumables
(Misal : Rp150/Kg)</t>
  </si>
  <si>
    <t>Man Power 
(Misal : Rp400/Kg)</t>
  </si>
  <si>
    <t>GALVALUM SLITTED NON BORON 0.669-150-AZ70-G550-</t>
  </si>
  <si>
    <t>Komponen Scrap</t>
  </si>
  <si>
    <t>Berat Total Reject (kg)</t>
  </si>
  <si>
    <t>Total Inventory Scrap :</t>
  </si>
  <si>
    <t>Scrap (Tong, Wrapping, Potongan Pisau, Reject Produk dan Material (Internal dan Supplier))</t>
  </si>
  <si>
    <t>--&gt;muncul pop up, untuk notifikasi cek ulang</t>
  </si>
  <si>
    <t>(Select Material in Pack)</t>
  </si>
  <si>
    <t>Total Weight Production</t>
  </si>
  <si>
    <t>Scrap</t>
  </si>
  <si>
    <t>Selisih Production vs Nett Weight</t>
  </si>
  <si>
    <t>Total Biaya Finish Good KW 2</t>
  </si>
  <si>
    <t>Inventory (80%)</t>
  </si>
  <si>
    <t>Reject Produk Internal</t>
  </si>
  <si>
    <t>Reject Material Internal</t>
  </si>
  <si>
    <t>Reject Produk Supplier</t>
  </si>
  <si>
    <t>Reject Material Supplier</t>
  </si>
  <si>
    <t>Total :</t>
  </si>
  <si>
    <t>Proses</t>
  </si>
  <si>
    <t>Menu ERP</t>
  </si>
  <si>
    <t>Menu TRAS</t>
  </si>
  <si>
    <t>Account COA</t>
  </si>
  <si>
    <t>Nama Account</t>
  </si>
  <si>
    <t>Formula</t>
  </si>
  <si>
    <t>Laporan Harian Produksi</t>
  </si>
  <si>
    <t>1105-03-01</t>
  </si>
  <si>
    <t>PERSEDIAN BARANG WASTE</t>
  </si>
  <si>
    <t>60% dari Scrap dan potongan pisau, Scrap internal, scrap supplier, tong koil, wrapping</t>
  </si>
  <si>
    <t>BIAYA SCRAP</t>
  </si>
  <si>
    <t>40% dari Scrap dan potongan pisau, Scrap internal, scrap supplier, tong koil, wrapping</t>
  </si>
  <si>
    <t>B. SELISIH STOCK AUDIT</t>
  </si>
  <si>
    <t xml:space="preserve">Selisih timbang dari berat tercatat di Inventory dengan actual timbang </t>
  </si>
  <si>
    <t>1105-05-02</t>
  </si>
  <si>
    <t>WIP MANUFACTURING</t>
  </si>
  <si>
    <t>Sisa Material yg belum diproduksi dikembalikan ke Inventory WIP Manufacturing</t>
  </si>
  <si>
    <t>Biaya KW 2 (20%)</t>
  </si>
  <si>
    <t>1105-01-01</t>
  </si>
  <si>
    <t>HUTANG LABOUR COST PC</t>
  </si>
  <si>
    <t>HUTANG BAHAN PENDUKUNG PC</t>
  </si>
  <si>
    <t>HUTANG CONSOMABLE PC</t>
  </si>
  <si>
    <t>HUTANG FACTORY OVERHEAD PC</t>
  </si>
  <si>
    <t>HUTANG BIAYA KOORDINASI PC</t>
  </si>
  <si>
    <t>1106-03-01</t>
  </si>
  <si>
    <t>INVENTORY FINISHED GOODS</t>
  </si>
  <si>
    <t xml:space="preserve">                      COST OF GOOD MANUFATURING</t>
  </si>
  <si>
    <t>146/VII</t>
  </si>
  <si>
    <t>Hold Coil</t>
  </si>
  <si>
    <t>Inventory Hold Coil</t>
  </si>
  <si>
    <t xml:space="preserve">COGM MATERIAL </t>
  </si>
  <si>
    <t>COGM LABOUR COST PC</t>
  </si>
  <si>
    <t>COGM FACTORY OVERHEAD PC</t>
  </si>
  <si>
    <t>COGM BAHAN PENDUKUNG KHUSUS PC</t>
  </si>
  <si>
    <t>COGM CONSUMABLE PC</t>
  </si>
  <si>
    <t>COGM BIAYA KOORDINASI PC</t>
  </si>
  <si>
    <t>COGM BIAYA SCRAP PC</t>
  </si>
  <si>
    <t>Masuk ke COGM</t>
  </si>
  <si>
    <t>COGM Loss KW 2</t>
  </si>
  <si>
    <t>Diadu dengan Hutang Scrap</t>
  </si>
  <si>
    <t>Langsung Biaya</t>
  </si>
  <si>
    <t>Hutang</t>
  </si>
  <si>
    <t>HUTANG BIAYA SCRAP PC &amp; KW 2</t>
  </si>
  <si>
    <t>COGM</t>
  </si>
  <si>
    <t>Inventory</t>
  </si>
  <si>
    <t>Biaya Loss/Profit Akibat Selisih Material</t>
  </si>
  <si>
    <t>Hutang yang akan dicrossing di akhir bulan dengan Aktual</t>
  </si>
  <si>
    <t>Biaya Aktual Based On Standard Costing yang akan diCrossing</t>
  </si>
  <si>
    <t>Add baby coil</t>
  </si>
  <si>
    <t>bisa &gt; 1 baby coil dari 1 pack</t>
  </si>
  <si>
    <t>Produk 1, Material 2 :</t>
  </si>
  <si>
    <t>Pakai Baby coil ke-2</t>
  </si>
  <si>
    <t>Produk 1, Material 3 :</t>
  </si>
  <si>
    <t>Pakai Baby coil ke-3</t>
  </si>
  <si>
    <t>Produk 1, Material 4 :</t>
  </si>
  <si>
    <t>Pakai Baby coil ke-4, tapi tidak full di produksi</t>
  </si>
  <si>
    <t>Select Baby Coil :</t>
  </si>
  <si>
    <t>--&gt; Sisa berat 1 baby coil</t>
  </si>
  <si>
    <t>Berat Sisa baby coil :</t>
  </si>
  <si>
    <t>Baby Coil :</t>
  </si>
  <si>
    <t>(Select Baby Coil)</t>
  </si>
  <si>
    <t>Berat Baby Coil dihold :</t>
  </si>
  <si>
    <t>--&gt; Untuk input berat baby coil yang dihold</t>
  </si>
  <si>
    <t>Biaya Loss KW 2 (20%)</t>
  </si>
  <si>
    <t>Material KW 1 &amp; KW 2</t>
  </si>
  <si>
    <t>Labour cost FG KW1 &amp; KW 2</t>
  </si>
  <si>
    <t>Factory Overhead FG KW1 &amp; KW2</t>
  </si>
  <si>
    <t>Bahan Pendukuing Khusus FG KW1 &amp; KW2</t>
  </si>
  <si>
    <t>Consumables FG KW1 &amp; KW2</t>
  </si>
  <si>
    <t>Biaya Koordinasi FG KW1 &amp; KW2</t>
  </si>
  <si>
    <t>Biaya Scrap FG KW1 &amp; KW2</t>
  </si>
  <si>
    <t>PERSEDIAN BAHAN BAKU PRODUKSI</t>
  </si>
  <si>
    <t>Net weight Packing List per Baby Coil</t>
  </si>
  <si>
    <t>FG KW 1 yang dihasilkan</t>
  </si>
  <si>
    <t>Nett Weight Packing Coil x Costbook</t>
  </si>
  <si>
    <t>Debit Kredit Inventory</t>
  </si>
  <si>
    <t>Setelah diinput qty baby coil, terbentuk identitas baby coil</t>
  </si>
  <si>
    <t>Sisa Coil Utuh &amp; WIP</t>
  </si>
  <si>
    <t>1. Coil Utuh :</t>
  </si>
  <si>
    <t>2. Sisa Coil Sebelumnya (WIP) :</t>
  </si>
  <si>
    <t>Add WIP</t>
  </si>
  <si>
    <t>DEBDA0319-T1-BDP</t>
  </si>
  <si>
    <t>Add Baby Coil</t>
  </si>
  <si>
    <t>Coil</t>
  </si>
  <si>
    <t>Material Name</t>
  </si>
  <si>
    <t>3 Mtr</t>
  </si>
  <si>
    <t>4 Mtr</t>
  </si>
  <si>
    <t>5 Mtr</t>
  </si>
  <si>
    <t>Sisa Material yang dipakai produksi</t>
  </si>
  <si>
    <t>Note : Jika minus, masuk ke kredit</t>
  </si>
  <si>
    <t>Simulasi Laporan Unpack dan Produksi Canal C (SPK : 146/VII) --&gt; Pakai WIP Sisa Coil + Coil Utuh</t>
  </si>
  <si>
    <t>Simulasi Laporan Unpack dan Produksi Canal C (SPK : 146/VII) --&gt; di Hold</t>
  </si>
  <si>
    <t>Simulasi Laporan Unpack dan Produksi Canal C (SPK : CN-107) --&gt; Pakai coil yang sudah dihold</t>
  </si>
  <si>
    <t>CN-107</t>
  </si>
  <si>
    <t>1. Coil Setelah Boleh di Hold :</t>
  </si>
  <si>
    <t>Add Hold Coil</t>
  </si>
  <si>
    <t>Pemakaian Material yang di Hold</t>
  </si>
  <si>
    <t>Laporan Pack</t>
  </si>
  <si>
    <t>(Select SPK)</t>
  </si>
  <si>
    <t>(Select Tgl)</t>
  </si>
  <si>
    <t>(Select Mesin)</t>
  </si>
  <si>
    <t>(Select Helper)</t>
  </si>
  <si>
    <t>(Select Setter)</t>
  </si>
  <si>
    <t>(Input time HH:MM)</t>
  </si>
  <si>
    <t>Add Coil From Unpack</t>
  </si>
  <si>
    <t>Add Coil From WIP</t>
  </si>
  <si>
    <t>Add Coil From Hold</t>
  </si>
  <si>
    <t>(Otomatis muncul nama materialnya)</t>
  </si>
  <si>
    <t>(Dari laporan Unpack)</t>
  </si>
  <si>
    <t>(Muncul Produk sesuai SPK)</t>
  </si>
  <si>
    <t>Input Detail Produksi</t>
  </si>
  <si>
    <t>(Input Qty)</t>
  </si>
  <si>
    <t>(Input Kg)</t>
  </si>
  <si>
    <t>(Total Berat/Qty)</t>
  </si>
  <si>
    <t>(database)</t>
  </si>
  <si>
    <t>(Qty x Berat/pcs)</t>
  </si>
  <si>
    <t>((Berat/pcs)-Berat Standard)/Berat Standard</t>
  </si>
  <si>
    <t>(Berat Total / Qty KW 2)</t>
  </si>
  <si>
    <t>(Input Berat Sisa Baby Coil)</t>
  </si>
  <si>
    <t>(Total Semua Scrap)</t>
  </si>
  <si>
    <t>(Total Berat KW 1)</t>
  </si>
  <si>
    <t>(Total Berat KW 2)</t>
  </si>
  <si>
    <t>--&gt; Jika minus, masuk ke kredit</t>
  </si>
  <si>
    <t>(Total sisa baby coil)</t>
  </si>
  <si>
    <t>(Total berat dihold)</t>
  </si>
  <si>
    <t>(Total FG KW 1, KW2, Scrap, Sisa Coil, Hold Coil)</t>
  </si>
  <si>
    <t>(Data dari Unpack)</t>
  </si>
  <si>
    <t>(Net Weight Produksi - Net Packing List)</t>
  </si>
  <si>
    <t>Selisih / Net Weight</t>
  </si>
  <si>
    <t>Konsep pemakaian baby dari Laporan Unpack, WIP dan Hold untuk Produksi</t>
  </si>
  <si>
    <t>%Selisih berat/pcs</t>
  </si>
  <si>
    <t>-&gt;alert standard : +- 0.7%</t>
  </si>
  <si>
    <t>--&gt; Muncul POP-UP untuk cek kembali jika selisih lebih dari +- 0.7%</t>
  </si>
  <si>
    <t>Total Weight FG (Total Weight Produksi)</t>
  </si>
  <si>
    <t>Total Biaya Finish Good (masuk ke Jurnal)</t>
  </si>
  <si>
    <t>COGM Loss KW 2 (20%)</t>
  </si>
  <si>
    <t>HUTANG BIAYA SCRAP PC</t>
  </si>
  <si>
    <t>COGM Material</t>
  </si>
  <si>
    <t>Selisih berat</t>
  </si>
  <si>
    <t>Output</t>
  </si>
  <si>
    <t>Input</t>
  </si>
  <si>
    <t>total output</t>
  </si>
  <si>
    <t>selisin input - output</t>
  </si>
  <si>
    <t>(Inventory Scrap dan Biaya Scrap)</t>
  </si>
  <si>
    <t>Inventory Value
(40%)</t>
  </si>
  <si>
    <t>Beban FOH Scrap, Tong Coil, Wrapping
(60%)</t>
  </si>
  <si>
    <t>Jurnal Voucher (JV)</t>
  </si>
  <si>
    <t>LABOUR COST CONTROL</t>
  </si>
  <si>
    <t>BAHAN PENDUKUNG KHUSUS CONTROL</t>
  </si>
  <si>
    <t>CONSUMABLE CONTROL</t>
  </si>
  <si>
    <t>BIAYA KOORDINASI CONTROL</t>
  </si>
  <si>
    <t>BIAYA SCRAP CONTROL</t>
  </si>
  <si>
    <t>FACTORY OVERHEAD CONTROL</t>
  </si>
  <si>
    <t>FAVORABLE / UNFAVORABLE LABOUR COST</t>
  </si>
  <si>
    <t>FAVORABLE / UNFAVORABLE BAHAN PENDUKUNG KHUSUS</t>
  </si>
  <si>
    <t>FAVORABLE / UNFAVORABLE CONSUMABLE</t>
  </si>
  <si>
    <t>FAVORABLE / UNFAVORABLE FACTORY OVERHEAD</t>
  </si>
  <si>
    <t>FAVORABLE / UNFAVORABLE BIAYA KOORDINASI</t>
  </si>
  <si>
    <t>FAVORABLE / UNFAVORABLE BIAYA SCRAPE PC</t>
  </si>
  <si>
    <t>Tutup Bulan</t>
  </si>
  <si>
    <t>Favorable/Unfavorable nialinya 0, karena actual srcape di produksi sdh sama dengan dengan COGM biaya scrape produksi (jurnal tidak ada biaya Scrape diluar COGM biaya scrape produksi)</t>
  </si>
  <si>
    <t>Asumsi beban actual  labour cost 595.000</t>
  </si>
  <si>
    <t>Asumsi beban Factory Overhead 546.000</t>
  </si>
  <si>
    <t>Asumsi beban actual Bahan Pendukung khusus 934.000</t>
  </si>
  <si>
    <t xml:space="preserve"> </t>
  </si>
  <si>
    <t>Unfavorable biaya actual Bahan Pendukung Khusus lebih besar darti COGM Bahan Pendukung Khusus PC yang sdh menjadi Bahan Pendukung Khusus PC</t>
  </si>
  <si>
    <t>Asumsi beban actual Consomable 210.500</t>
  </si>
  <si>
    <t>Asumsi beban actual Biaya Koordinasi 210.500</t>
  </si>
  <si>
    <t>Unfavorable karena biaya actual Biaya Koordinasi lebih kecil dari COGM Biaya Koordinasi PC yang sdh menjadi Hutang Biaya Koordinasi PC PC</t>
  </si>
  <si>
    <t>Favorable karena biaya actual Consombale lebih kecil dari COGM Consomble PC yang sdh menjadi Hutang Consomable PC</t>
  </si>
  <si>
    <t>Favorable karena biaya actual Labour Cost lebih kecil dari COGM Labour Cost PC yang sdh menjadi Hutang Labour Cost PC</t>
  </si>
  <si>
    <t>Unfavorable karena biaya actual Factory Overhead  lebih besar dari COGM Factory Overhead PC yang sdh menjadi Hutang Factory Overhead PC</t>
  </si>
  <si>
    <t>JURNAL TUTUP BULAN (FAVORABLE/UNFAVORABLE)</t>
  </si>
  <si>
    <t>GALVALUM SLITTED NON BORON 0.591-150-AZ70-G550-</t>
  </si>
  <si>
    <t>DEB-T0</t>
  </si>
  <si>
    <t>(No. Uniq Pack)</t>
  </si>
  <si>
    <t>(Nama Material di Pack)</t>
  </si>
  <si>
    <t>(Jumlah Baby Coil Material dalam Pack)</t>
  </si>
  <si>
    <t>(Total Nett Weight per Roll Babycoil berdasarkan berat aktual)</t>
  </si>
  <si>
    <t>(Total Gross Weight per Roll Babycoil berdasarkan berat aktual)</t>
  </si>
  <si>
    <t>(Total Gross Weight per Roll Babycoil berdasarkan berat Packing List)</t>
  </si>
  <si>
    <t>(Total Nett Weight per Roll Babycoil berdasarkan berat Packing List)</t>
  </si>
  <si>
    <t>1. Unpack Baby Coil (Data dari Gudang Produksi 2):</t>
  </si>
  <si>
    <t>2. Pemakaian Sisa Coil Coil Sebelumnya (Gudang WIP) :</t>
  </si>
  <si>
    <t>3. Pemakaian Material di Hold (Gudang Material di Hold) :</t>
  </si>
  <si>
    <t>Add Coil dari beberapa sumber (Gudang Produksi 2, Gudang WIP, Gudang Material Hold)</t>
  </si>
  <si>
    <t>(Select Baby Coil dari gudang produksi 1)</t>
  </si>
  <si>
    <t>(Select Baby Coil dari Gudang WIP)</t>
  </si>
  <si>
    <t>(Select Baby Coil dari Gudang Material Hold)</t>
  </si>
  <si>
    <t>(Muncul sesuai dari data Gudang WIP)</t>
  </si>
  <si>
    <t>(Muncul sesuai dari data Gudang Produksi 2)</t>
  </si>
  <si>
    <t>(Muncul sesuai dari data Gudang Material Hold)</t>
  </si>
  <si>
    <t>bisa &gt; 1 baby coil</t>
  </si>
  <si>
    <t>(Select Baby Coil dari Baby coil yang sudah diadd dari Poin 1)</t>
  </si>
  <si>
    <t>--&gt;muncul pop up notifikasi cek ulang, jika selisih +- 0,7%</t>
  </si>
  <si>
    <t>Note : Untuk sisa Coil dijadikan produk diluar SPK</t>
  </si>
  <si>
    <t>(Input Ukuran)</t>
  </si>
  <si>
    <t>(Input Berat)</t>
  </si>
  <si>
    <t>(Input Free Text)</t>
  </si>
  <si>
    <t>(Input Berat yang dihold)</t>
  </si>
  <si>
    <t>--&gt; Bisa add lebih dari satu</t>
  </si>
  <si>
    <t>(Total Berat Produk KW 1 Atau Stok Bebas)</t>
  </si>
  <si>
    <t>(Data Hasil Input Produksi KW 1 atau Stok Bebas</t>
  </si>
  <si>
    <t>(sesuai input berat/pcs dari hasil input Produk KW 1 atau Stok Bebas)</t>
  </si>
  <si>
    <t>(Sesuai database master produknya)</t>
  </si>
  <si>
    <t>(Nilai Costbook dari Material Babycoil yang dipakai dari Gudang Produksi 2 atau Gudang WIP atau Gudang Material Hold)</t>
  </si>
  <si>
    <t>(Berat/Pcs * Costbook Material)</t>
  </si>
  <si>
    <t>(Berat/Pcs * Rate Man Power dari Modul Product Costing)</t>
  </si>
  <si>
    <t>(Berat/Pcs * Rate FOH dari Modul Product Costing)</t>
  </si>
  <si>
    <t>(Berat/Pcs * Rate Bahan Pendukung Khusus dari Modul Product Costing)</t>
  </si>
  <si>
    <t>(Berat/Pcs * Rate Consumables dari Modul Product Costing)</t>
  </si>
  <si>
    <t>(Berat/Pcs * Rate Biaya Koordinasi dari Modul Product Costing)</t>
  </si>
  <si>
    <t>(Berat/Pcs * Rate Biaya Scrap dari Modul Product Costing)</t>
  </si>
  <si>
    <t xml:space="preserve">(Total Berat Material+Man Power+FOH+Bahan Pendukung Khusus+Consumables+Biaya Koordinasi) </t>
  </si>
  <si>
    <t>(Sesuai jumlah Qty Finish Good KW 1 atau Stok Bebas yang terinput)</t>
  </si>
  <si>
    <t>(Biaya Material/pcs * Qty FG)</t>
  </si>
  <si>
    <t>(Biaya Man Power/pcs * Qty FG)</t>
  </si>
  <si>
    <t>(Biaya FOH/pcs * Qty FG)</t>
  </si>
  <si>
    <t>(Biaya Bahan Pendukung Khusus/pcs * Qty FG)</t>
  </si>
  <si>
    <t>(Biaya Consumables Khusus/pcs * Qty FG)</t>
  </si>
  <si>
    <t>(Biaya Koordinasi/pcs * Qty FG)</t>
  </si>
  <si>
    <t>(Biaya Scrap/pcs * Qty FG)</t>
  </si>
  <si>
    <t>(Data Hasil Input Produksi KW 2 Internal)</t>
  </si>
  <si>
    <t>(Finish Good Value Total * 80%)</t>
  </si>
  <si>
    <t>(Finish Good Value Total * 20%)</t>
  </si>
  <si>
    <t>(Total Berat Produk KW 2 Internal)</t>
  </si>
  <si>
    <t>(sesuai input berat/pcs dari hasil input Produk KW 2 Internal)</t>
  </si>
  <si>
    <t>(Data Hasil Input Produksi KW 2 External)</t>
  </si>
  <si>
    <t>(Total Berat Produk KW 2 External)</t>
  </si>
  <si>
    <t>(sesuai input berat/pcs dari hasil input Produk KW 2 External)</t>
  </si>
  <si>
    <t>(sesuai input dari data scrap bagian " Reject Product Internal)</t>
  </si>
  <si>
    <t>(sesuai input dari data scrap bagian "Reject Product Supplier")</t>
  </si>
  <si>
    <t>(sesuai input dari data scrap bagian "Reject Material Internal)</t>
  </si>
  <si>
    <t>(sesuai input dari data scrap bagian "Tong Coil")</t>
  </si>
  <si>
    <t>(sesuai input dari data scrap bagian "Wrapping")</t>
  </si>
  <si>
    <t>(sesuai input dari data scrap bagian "Potongan Pisau")</t>
  </si>
  <si>
    <t>(Costbook Material dari Gudang Produksi 2)</t>
  </si>
  <si>
    <t>(Total Weight*Costbook)*40%</t>
  </si>
  <si>
    <t>(Total Weight*Costbook)*60%</t>
  </si>
  <si>
    <t>(Sesuai input dari bagian Sisa Coil)</t>
  </si>
  <si>
    <t>(Total Weight*Costbook)</t>
  </si>
  <si>
    <t>(Sesuai data summary bagian "Selisih Kg")</t>
  </si>
  <si>
    <t>(Baby Coil yang dipilih)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</si>
</sst>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yyyy\-mm\-dd;@"/>
  </numFmts>
  <fonts count="25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7"/>
      <color rgb="FF212529"/>
      <name val="Roboto"/>
    </font>
    <font>
      <sz val="11"/>
      <color rgb="FFFF0000"/>
      <name val="Calibri"/>
      <family val="2"/>
    </font>
    <font>
      <b/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b/>
      <sz val="1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sz val="11"/>
      <color rgb="FFFF0000"/>
      <name val="Calibri"/>
      <family val="2"/>
      <charset val="1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6">
    <xf numFmtId="0" fontId="0" fillId="0" borderId="0"/>
    <xf numFmtId="0" fontId="2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341">
    <xf numFmtId="0" fontId="0" fillId="0" borderId="0" xfId="0"/>
    <xf numFmtId="0" fontId="0" fillId="0" borderId="0" xfId="0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2" fillId="0" borderId="0" xfId="1" applyAlignment="1">
      <alignment vertical="top"/>
    </xf>
    <xf numFmtId="43" fontId="0" fillId="0" borderId="0" xfId="2" applyFont="1" applyAlignment="1">
      <alignment vertical="top"/>
    </xf>
    <xf numFmtId="43" fontId="4" fillId="0" borderId="0" xfId="2" applyFont="1" applyAlignment="1">
      <alignment vertical="top"/>
    </xf>
    <xf numFmtId="0" fontId="3" fillId="0" borderId="0" xfId="1" applyFont="1" applyAlignment="1">
      <alignment horizontal="right" vertical="top"/>
    </xf>
    <xf numFmtId="0" fontId="3" fillId="0" borderId="1" xfId="1" applyFont="1" applyBorder="1" applyAlignment="1">
      <alignment horizontal="center" vertical="top"/>
    </xf>
    <xf numFmtId="43" fontId="3" fillId="0" borderId="1" xfId="2" applyFont="1" applyBorder="1" applyAlignment="1">
      <alignment horizontal="center" vertical="top"/>
    </xf>
    <xf numFmtId="0" fontId="3" fillId="0" borderId="1" xfId="1" applyFont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top" wrapText="1"/>
    </xf>
    <xf numFmtId="0" fontId="3" fillId="0" borderId="0" xfId="1" applyFont="1" applyAlignment="1">
      <alignment horizontal="center" vertical="top"/>
    </xf>
    <xf numFmtId="0" fontId="2" fillId="0" borderId="0" xfId="1" applyAlignment="1">
      <alignment horizontal="center" vertical="top"/>
    </xf>
    <xf numFmtId="0" fontId="2" fillId="3" borderId="1" xfId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3" fillId="8" borderId="0" xfId="1" applyFont="1" applyFill="1" applyAlignment="1">
      <alignment vertical="top"/>
    </xf>
    <xf numFmtId="4" fontId="5" fillId="0" borderId="0" xfId="1" applyNumberFormat="1" applyFont="1" applyAlignment="1">
      <alignment horizontal="center" vertical="top" wrapText="1"/>
    </xf>
    <xf numFmtId="43" fontId="9" fillId="0" borderId="0" xfId="2" applyFont="1" applyAlignment="1">
      <alignment vertical="top"/>
    </xf>
    <xf numFmtId="0" fontId="3" fillId="2" borderId="0" xfId="1" applyFont="1" applyFill="1" applyAlignment="1">
      <alignment vertical="top"/>
    </xf>
    <xf numFmtId="0" fontId="5" fillId="2" borderId="1" xfId="1" applyFont="1" applyFill="1" applyBorder="1" applyAlignment="1">
      <alignment horizontal="center" vertical="top"/>
    </xf>
    <xf numFmtId="43" fontId="0" fillId="8" borderId="1" xfId="2" applyFont="1" applyFill="1" applyBorder="1" applyAlignment="1">
      <alignment horizontal="center" vertical="top"/>
    </xf>
    <xf numFmtId="0" fontId="2" fillId="7" borderId="1" xfId="1" applyFill="1" applyBorder="1" applyAlignment="1">
      <alignment horizontal="center" vertical="top"/>
    </xf>
    <xf numFmtId="0" fontId="7" fillId="9" borderId="0" xfId="1" applyFont="1" applyFill="1" applyAlignment="1">
      <alignment horizontal="center" vertical="center"/>
    </xf>
    <xf numFmtId="43" fontId="5" fillId="7" borderId="1" xfId="2" applyFont="1" applyFill="1" applyBorder="1" applyAlignment="1">
      <alignment horizontal="center" vertical="top"/>
    </xf>
    <xf numFmtId="0" fontId="5" fillId="7" borderId="1" xfId="1" applyFont="1" applyFill="1" applyBorder="1" applyAlignment="1">
      <alignment horizontal="center" vertical="top" wrapText="1"/>
    </xf>
    <xf numFmtId="0" fontId="9" fillId="0" borderId="0" xfId="1" quotePrefix="1" applyFont="1" applyAlignment="1">
      <alignment vertical="top"/>
    </xf>
    <xf numFmtId="0" fontId="10" fillId="0" borderId="0" xfId="1" quotePrefix="1" applyFont="1" applyAlignment="1">
      <alignment vertical="top"/>
    </xf>
    <xf numFmtId="0" fontId="9" fillId="0" borderId="0" xfId="1" applyFont="1" applyAlignment="1">
      <alignment vertical="top"/>
    </xf>
    <xf numFmtId="0" fontId="11" fillId="10" borderId="1" xfId="1" applyFont="1" applyFill="1" applyBorder="1" applyAlignment="1">
      <alignment horizontal="center" vertical="center" wrapText="1"/>
    </xf>
    <xf numFmtId="43" fontId="11" fillId="10" borderId="1" xfId="2" applyFont="1" applyFill="1" applyBorder="1" applyAlignment="1">
      <alignment horizontal="center" vertical="center" wrapText="1"/>
    </xf>
    <xf numFmtId="4" fontId="5" fillId="7" borderId="1" xfId="1" applyNumberFormat="1" applyFont="1" applyFill="1" applyBorder="1" applyAlignment="1">
      <alignment horizontal="center" vertical="top"/>
    </xf>
    <xf numFmtId="4" fontId="5" fillId="7" borderId="1" xfId="1" applyNumberFormat="1" applyFont="1" applyFill="1" applyBorder="1" applyAlignment="1">
      <alignment horizontal="center" vertical="top" wrapText="1"/>
    </xf>
    <xf numFmtId="4" fontId="2" fillId="6" borderId="1" xfId="1" applyNumberFormat="1" applyFill="1" applyBorder="1" applyAlignment="1">
      <alignment horizontal="center" vertical="top"/>
    </xf>
    <xf numFmtId="10" fontId="5" fillId="7" borderId="1" xfId="3" applyNumberFormat="1" applyFont="1" applyFill="1" applyBorder="1" applyAlignment="1">
      <alignment horizontal="center" vertical="top"/>
    </xf>
    <xf numFmtId="0" fontId="8" fillId="11" borderId="0" xfId="1" applyFont="1" applyFill="1" applyAlignment="1">
      <alignment horizontal="center" vertical="top"/>
    </xf>
    <xf numFmtId="0" fontId="8" fillId="5" borderId="0" xfId="1" applyFont="1" applyFill="1" applyAlignment="1">
      <alignment horizontal="center" vertical="top"/>
    </xf>
    <xf numFmtId="0" fontId="12" fillId="0" borderId="0" xfId="1" applyFont="1" applyAlignment="1">
      <alignment vertical="top"/>
    </xf>
    <xf numFmtId="0" fontId="2" fillId="0" borderId="0" xfId="1"/>
    <xf numFmtId="20" fontId="6" fillId="3" borderId="0" xfId="1" applyNumberFormat="1" applyFont="1" applyFill="1" applyAlignment="1">
      <alignment horizontal="center" vertical="top"/>
    </xf>
    <xf numFmtId="20" fontId="6" fillId="3" borderId="0" xfId="2" applyNumberFormat="1" applyFont="1" applyFill="1" applyAlignment="1">
      <alignment horizontal="center" vertical="top"/>
    </xf>
    <xf numFmtId="0" fontId="5" fillId="3" borderId="1" xfId="1" applyFont="1" applyFill="1" applyBorder="1" applyAlignment="1">
      <alignment horizontal="center" vertical="top" wrapText="1"/>
    </xf>
    <xf numFmtId="43" fontId="2" fillId="0" borderId="1" xfId="1" applyNumberFormat="1" applyBorder="1" applyAlignment="1">
      <alignment horizontal="center" vertical="top"/>
    </xf>
    <xf numFmtId="0" fontId="2" fillId="0" borderId="1" xfId="1" applyBorder="1" applyAlignment="1">
      <alignment horizontal="center" vertical="top"/>
    </xf>
    <xf numFmtId="4" fontId="2" fillId="0" borderId="1" xfId="1" applyNumberFormat="1" applyBorder="1" applyAlignment="1">
      <alignment horizontal="center" vertical="top"/>
    </xf>
    <xf numFmtId="0" fontId="14" fillId="0" borderId="0" xfId="1" applyFont="1" applyAlignment="1">
      <alignment vertical="top"/>
    </xf>
    <xf numFmtId="0" fontId="2" fillId="0" borderId="1" xfId="1" applyBorder="1" applyAlignment="1">
      <alignment vertical="top"/>
    </xf>
    <xf numFmtId="0" fontId="3" fillId="0" borderId="5" xfId="1" applyFont="1" applyBorder="1" applyAlignment="1">
      <alignment horizontal="center" vertical="top"/>
    </xf>
    <xf numFmtId="43" fontId="14" fillId="0" borderId="1" xfId="2" applyFont="1" applyBorder="1" applyAlignment="1">
      <alignment horizontal="center" vertical="top" wrapText="1"/>
    </xf>
    <xf numFmtId="43" fontId="4" fillId="0" borderId="1" xfId="1" applyNumberFormat="1" applyFont="1" applyBorder="1" applyAlignment="1">
      <alignment vertical="top"/>
    </xf>
    <xf numFmtId="43" fontId="4" fillId="0" borderId="1" xfId="2" applyFont="1" applyBorder="1" applyAlignment="1">
      <alignment vertical="top"/>
    </xf>
    <xf numFmtId="43" fontId="14" fillId="0" borderId="1" xfId="1" applyNumberFormat="1" applyFont="1" applyBorder="1" applyAlignment="1">
      <alignment vertical="top"/>
    </xf>
    <xf numFmtId="43" fontId="4" fillId="0" borderId="1" xfId="2" applyFont="1" applyFill="1" applyBorder="1" applyAlignment="1">
      <alignment vertical="top"/>
    </xf>
    <xf numFmtId="0" fontId="2" fillId="0" borderId="0" xfId="1" applyAlignment="1">
      <alignment vertical="top" wrapText="1"/>
    </xf>
    <xf numFmtId="43" fontId="4" fillId="0" borderId="0" xfId="1" applyNumberFormat="1" applyFont="1" applyAlignment="1">
      <alignment vertical="top"/>
    </xf>
    <xf numFmtId="43" fontId="14" fillId="0" borderId="0" xfId="1" applyNumberFormat="1" applyFont="1" applyAlignment="1">
      <alignment vertical="top"/>
    </xf>
    <xf numFmtId="43" fontId="12" fillId="0" borderId="0" xfId="1" applyNumberFormat="1" applyFont="1" applyAlignment="1">
      <alignment vertical="top"/>
    </xf>
    <xf numFmtId="43" fontId="14" fillId="6" borderId="1" xfId="2" applyFont="1" applyFill="1" applyBorder="1" applyAlignment="1">
      <alignment horizontal="center" vertical="top" wrapText="1"/>
    </xf>
    <xf numFmtId="0" fontId="5" fillId="0" borderId="6" xfId="1" applyFont="1" applyBorder="1" applyAlignment="1">
      <alignment vertical="top" wrapText="1"/>
    </xf>
    <xf numFmtId="0" fontId="5" fillId="0" borderId="0" xfId="1" applyFont="1" applyAlignment="1">
      <alignment vertical="top" wrapText="1"/>
    </xf>
    <xf numFmtId="43" fontId="4" fillId="0" borderId="0" xfId="2" applyFont="1" applyBorder="1" applyAlignment="1">
      <alignment vertical="top"/>
    </xf>
    <xf numFmtId="0" fontId="3" fillId="0" borderId="5" xfId="1" applyFont="1" applyBorder="1" applyAlignment="1">
      <alignment horizontal="center" vertical="top" wrapText="1"/>
    </xf>
    <xf numFmtId="4" fontId="4" fillId="0" borderId="1" xfId="1" applyNumberFormat="1" applyFont="1" applyBorder="1" applyAlignment="1">
      <alignment horizontal="center" vertical="top"/>
    </xf>
    <xf numFmtId="43" fontId="2" fillId="0" borderId="1" xfId="1" applyNumberFormat="1" applyBorder="1" applyAlignment="1">
      <alignment vertical="top"/>
    </xf>
    <xf numFmtId="0" fontId="14" fillId="0" borderId="0" xfId="1" applyFont="1" applyAlignment="1">
      <alignment horizontal="center" vertical="top"/>
    </xf>
    <xf numFmtId="0" fontId="3" fillId="0" borderId="0" xfId="1" applyFont="1" applyAlignment="1">
      <alignment horizontal="left" vertical="top"/>
    </xf>
    <xf numFmtId="43" fontId="3" fillId="0" borderId="1" xfId="1" applyNumberFormat="1" applyFont="1" applyBorder="1" applyAlignment="1">
      <alignment vertical="top"/>
    </xf>
    <xf numFmtId="0" fontId="4" fillId="0" borderId="1" xfId="1" applyFont="1" applyBorder="1" applyAlignment="1">
      <alignment vertical="top"/>
    </xf>
    <xf numFmtId="43" fontId="14" fillId="0" borderId="0" xfId="2" applyFont="1" applyBorder="1" applyAlignment="1">
      <alignment vertical="top"/>
    </xf>
    <xf numFmtId="0" fontId="15" fillId="0" borderId="0" xfId="0" applyFont="1" applyAlignment="1">
      <alignment vertical="top"/>
    </xf>
    <xf numFmtId="0" fontId="15" fillId="3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16" fillId="5" borderId="0" xfId="0" applyFont="1" applyFill="1" applyAlignment="1">
      <alignment horizontal="center" vertical="top"/>
    </xf>
    <xf numFmtId="0" fontId="18" fillId="3" borderId="1" xfId="0" applyFont="1" applyFill="1" applyBorder="1" applyAlignment="1">
      <alignment horizontal="center" vertical="top"/>
    </xf>
    <xf numFmtId="0" fontId="2" fillId="0" borderId="1" xfId="1" applyBorder="1" applyAlignment="1">
      <alignment horizontal="center" vertical="top" wrapText="1"/>
    </xf>
    <xf numFmtId="0" fontId="16" fillId="4" borderId="0" xfId="0" applyFont="1" applyFill="1" applyAlignment="1">
      <alignment horizontal="center" vertical="top"/>
    </xf>
    <xf numFmtId="0" fontId="2" fillId="0" borderId="0" xfId="1" applyAlignment="1">
      <alignment horizontal="center" vertical="top" wrapText="1"/>
    </xf>
    <xf numFmtId="0" fontId="2" fillId="0" borderId="0" xfId="1" applyAlignment="1">
      <alignment horizontal="left" vertical="top"/>
    </xf>
    <xf numFmtId="0" fontId="0" fillId="0" borderId="1" xfId="0" applyBorder="1" applyAlignment="1">
      <alignment vertical="top"/>
    </xf>
    <xf numFmtId="0" fontId="10" fillId="0" borderId="0" xfId="0" quotePrefix="1" applyFont="1" applyAlignment="1">
      <alignment vertical="top"/>
    </xf>
    <xf numFmtId="0" fontId="0" fillId="0" borderId="0" xfId="0" applyAlignment="1">
      <alignment vertical="top" wrapText="1"/>
    </xf>
    <xf numFmtId="0" fontId="15" fillId="0" borderId="1" xfId="0" applyFont="1" applyBorder="1" applyAlignment="1">
      <alignment horizontal="center" vertical="top" wrapText="1"/>
    </xf>
    <xf numFmtId="0" fontId="0" fillId="2" borderId="1" xfId="0" applyFill="1" applyBorder="1" applyAlignment="1">
      <alignment horizontal="center" vertical="top"/>
    </xf>
    <xf numFmtId="0" fontId="2" fillId="2" borderId="1" xfId="1" applyFill="1" applyBorder="1" applyAlignment="1">
      <alignment horizontal="center" vertical="top" wrapText="1"/>
    </xf>
    <xf numFmtId="0" fontId="4" fillId="0" borderId="0" xfId="0" quotePrefix="1" applyFont="1" applyAlignment="1">
      <alignment vertical="top"/>
    </xf>
    <xf numFmtId="0" fontId="12" fillId="0" borderId="0" xfId="0" applyFont="1" applyAlignment="1">
      <alignment vertical="top"/>
    </xf>
    <xf numFmtId="0" fontId="2" fillId="12" borderId="1" xfId="1" applyFill="1" applyBorder="1" applyAlignment="1">
      <alignment horizontal="center" vertical="top" wrapText="1"/>
    </xf>
    <xf numFmtId="14" fontId="5" fillId="12" borderId="0" xfId="1" applyNumberFormat="1" applyFont="1" applyFill="1" applyAlignment="1">
      <alignment horizontal="center" vertical="top"/>
    </xf>
    <xf numFmtId="0" fontId="6" fillId="12" borderId="0" xfId="1" applyFont="1" applyFill="1" applyAlignment="1">
      <alignment vertical="top"/>
    </xf>
    <xf numFmtId="0" fontId="8" fillId="5" borderId="1" xfId="1" applyFont="1" applyFill="1" applyBorder="1" applyAlignment="1">
      <alignment horizontal="center" vertical="center" wrapText="1"/>
    </xf>
    <xf numFmtId="4" fontId="5" fillId="3" borderId="1" xfId="1" applyNumberFormat="1" applyFont="1" applyFill="1" applyBorder="1" applyAlignment="1">
      <alignment horizontal="center" vertical="top"/>
    </xf>
    <xf numFmtId="0" fontId="4" fillId="0" borderId="0" xfId="1" applyFont="1" applyAlignment="1">
      <alignment horizontal="center" vertical="top"/>
    </xf>
    <xf numFmtId="14" fontId="2" fillId="0" borderId="1" xfId="1" applyNumberFormat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6" fillId="4" borderId="8" xfId="0" applyFont="1" applyFill="1" applyBorder="1" applyAlignment="1">
      <alignment horizontal="center" vertical="top"/>
    </xf>
    <xf numFmtId="0" fontId="0" fillId="14" borderId="1" xfId="0" applyFill="1" applyBorder="1" applyAlignment="1">
      <alignment horizontal="center" vertical="top"/>
    </xf>
    <xf numFmtId="0" fontId="0" fillId="14" borderId="1" xfId="0" applyFill="1" applyBorder="1" applyAlignment="1">
      <alignment vertical="top" wrapText="1"/>
    </xf>
    <xf numFmtId="0" fontId="2" fillId="12" borderId="0" xfId="1" applyFill="1" applyAlignment="1">
      <alignment vertical="top"/>
    </xf>
    <xf numFmtId="0" fontId="5" fillId="14" borderId="1" xfId="1" applyFont="1" applyFill="1" applyBorder="1" applyAlignment="1">
      <alignment horizontal="center" vertical="top" wrapText="1"/>
    </xf>
    <xf numFmtId="0" fontId="3" fillId="2" borderId="7" xfId="1" applyFont="1" applyFill="1" applyBorder="1" applyAlignment="1">
      <alignment horizontal="center" vertical="top"/>
    </xf>
    <xf numFmtId="0" fontId="3" fillId="2" borderId="1" xfId="1" applyFont="1" applyFill="1" applyBorder="1" applyAlignment="1">
      <alignment horizontal="center" vertical="top"/>
    </xf>
    <xf numFmtId="9" fontId="5" fillId="2" borderId="1" xfId="5" applyFont="1" applyFill="1" applyBorder="1" applyAlignment="1">
      <alignment horizontal="center" vertical="top" wrapText="1"/>
    </xf>
    <xf numFmtId="0" fontId="3" fillId="16" borderId="1" xfId="1" applyFont="1" applyFill="1" applyBorder="1" applyAlignment="1">
      <alignment horizontal="center" vertical="top" wrapText="1"/>
    </xf>
    <xf numFmtId="0" fontId="2" fillId="16" borderId="1" xfId="1" applyFill="1" applyBorder="1" applyAlignment="1">
      <alignment horizontal="center" vertical="top" wrapText="1"/>
    </xf>
    <xf numFmtId="0" fontId="20" fillId="0" borderId="0" xfId="1" applyFont="1" applyAlignment="1">
      <alignment horizontal="right" vertical="top"/>
    </xf>
    <xf numFmtId="10" fontId="0" fillId="7" borderId="1" xfId="5" applyNumberFormat="1" applyFont="1" applyFill="1" applyBorder="1" applyAlignment="1">
      <alignment horizontal="center" vertical="top"/>
    </xf>
    <xf numFmtId="43" fontId="2" fillId="0" borderId="1" xfId="1" applyNumberFormat="1" applyBorder="1" applyAlignment="1">
      <alignment horizontal="center" vertical="top" wrapText="1"/>
    </xf>
    <xf numFmtId="0" fontId="9" fillId="0" borderId="0" xfId="1" quotePrefix="1" applyFont="1"/>
    <xf numFmtId="0" fontId="2" fillId="0" borderId="1" xfId="1" applyBorder="1" applyAlignment="1">
      <alignment vertical="top" wrapText="1"/>
    </xf>
    <xf numFmtId="0" fontId="21" fillId="0" borderId="1" xfId="1" applyFont="1" applyBorder="1" applyAlignment="1">
      <alignment horizontal="center" vertical="top"/>
    </xf>
    <xf numFmtId="4" fontId="2" fillId="6" borderId="1" xfId="1" applyNumberFormat="1" applyFill="1" applyBorder="1" applyAlignment="1">
      <alignment horizontal="left" vertical="top" wrapText="1"/>
    </xf>
    <xf numFmtId="14" fontId="2" fillId="12" borderId="0" xfId="1" applyNumberFormat="1" applyFill="1" applyAlignment="1">
      <alignment horizontal="left" vertical="top"/>
    </xf>
    <xf numFmtId="0" fontId="3" fillId="2" borderId="0" xfId="1" applyFont="1" applyFill="1" applyAlignment="1">
      <alignment horizontal="center" vertical="top"/>
    </xf>
    <xf numFmtId="0" fontId="2" fillId="7" borderId="1" xfId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4" fontId="2" fillId="0" borderId="0" xfId="0" applyNumberFormat="1" applyFont="1" applyAlignment="1">
      <alignment horizontal="center" vertical="top" wrapText="1"/>
    </xf>
    <xf numFmtId="0" fontId="3" fillId="2" borderId="0" xfId="0" applyFont="1" applyFill="1" applyAlignment="1">
      <alignment vertical="top"/>
    </xf>
    <xf numFmtId="0" fontId="7" fillId="5" borderId="0" xfId="0" applyFont="1" applyFill="1" applyAlignment="1">
      <alignment horizontal="center" vertical="top"/>
    </xf>
    <xf numFmtId="43" fontId="9" fillId="0" borderId="0" xfId="4" applyFont="1" applyAlignment="1">
      <alignment vertical="top"/>
    </xf>
    <xf numFmtId="0" fontId="2" fillId="2" borderId="1" xfId="0" applyFont="1" applyFill="1" applyBorder="1" applyAlignment="1">
      <alignment horizontal="center" vertical="top"/>
    </xf>
    <xf numFmtId="43" fontId="0" fillId="0" borderId="0" xfId="4" applyFont="1" applyAlignment="1">
      <alignment vertical="top"/>
    </xf>
    <xf numFmtId="0" fontId="3" fillId="0" borderId="0" xfId="0" applyFont="1" applyAlignment="1">
      <alignment vertical="top"/>
    </xf>
    <xf numFmtId="0" fontId="3" fillId="0" borderId="1" xfId="0" applyFont="1" applyBorder="1" applyAlignment="1">
      <alignment horizontal="center" vertical="top"/>
    </xf>
    <xf numFmtId="0" fontId="0" fillId="0" borderId="0" xfId="0" quotePrefix="1" applyAlignment="1">
      <alignment vertical="top"/>
    </xf>
    <xf numFmtId="43" fontId="0" fillId="7" borderId="1" xfId="4" applyFont="1" applyFill="1" applyBorder="1" applyAlignment="1">
      <alignment horizontal="center" vertical="top"/>
    </xf>
    <xf numFmtId="43" fontId="0" fillId="8" borderId="1" xfId="4" applyFont="1" applyFill="1" applyBorder="1" applyAlignment="1">
      <alignment horizontal="center" vertical="top"/>
    </xf>
    <xf numFmtId="43" fontId="0" fillId="7" borderId="1" xfId="4" applyFont="1" applyFill="1" applyBorder="1" applyAlignment="1">
      <alignment vertical="top"/>
    </xf>
    <xf numFmtId="0" fontId="0" fillId="7" borderId="1" xfId="0" applyFill="1" applyBorder="1" applyAlignment="1">
      <alignment horizontal="center" vertical="top"/>
    </xf>
    <xf numFmtId="0" fontId="7" fillId="15" borderId="0" xfId="0" applyFont="1" applyFill="1" applyAlignment="1">
      <alignment horizontal="right" vertical="top"/>
    </xf>
    <xf numFmtId="43" fontId="2" fillId="0" borderId="1" xfId="4" applyFont="1" applyBorder="1" applyAlignment="1">
      <alignment horizontal="center" vertical="top"/>
    </xf>
    <xf numFmtId="0" fontId="4" fillId="6" borderId="5" xfId="1" applyFont="1" applyFill="1" applyBorder="1" applyAlignment="1">
      <alignment horizontal="center" vertical="top"/>
    </xf>
    <xf numFmtId="43" fontId="14" fillId="0" borderId="0" xfId="2" applyFont="1" applyBorder="1" applyAlignment="1">
      <alignment horizontal="right" vertical="top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right" vertical="center" wrapText="1"/>
    </xf>
    <xf numFmtId="165" fontId="18" fillId="0" borderId="1" xfId="0" applyNumberFormat="1" applyFont="1" applyBorder="1" applyAlignment="1">
      <alignment horizontal="right" vertical="center" wrapText="1"/>
    </xf>
    <xf numFmtId="0" fontId="22" fillId="2" borderId="1" xfId="0" applyFont="1" applyFill="1" applyBorder="1" applyAlignment="1">
      <alignment horizontal="center" vertical="center"/>
    </xf>
    <xf numFmtId="0" fontId="18" fillId="0" borderId="0" xfId="0" applyFont="1"/>
    <xf numFmtId="0" fontId="22" fillId="2" borderId="1" xfId="0" applyFont="1" applyFill="1" applyBorder="1" applyAlignment="1">
      <alignment horizontal="center" vertical="top"/>
    </xf>
    <xf numFmtId="165" fontId="18" fillId="0" borderId="1" xfId="0" applyNumberFormat="1" applyFont="1" applyBorder="1" applyAlignment="1">
      <alignment wrapText="1"/>
    </xf>
    <xf numFmtId="0" fontId="18" fillId="0" borderId="1" xfId="0" applyFont="1" applyBorder="1" applyAlignment="1">
      <alignment vertical="center" wrapText="1"/>
    </xf>
    <xf numFmtId="0" fontId="18" fillId="0" borderId="1" xfId="0" applyFont="1" applyBorder="1" applyAlignment="1">
      <alignment horizontal="center" vertical="center" wrapText="1"/>
    </xf>
    <xf numFmtId="165" fontId="18" fillId="0" borderId="1" xfId="0" applyNumberFormat="1" applyFont="1" applyBorder="1" applyAlignment="1">
      <alignment horizontal="left" vertical="center" wrapText="1"/>
    </xf>
    <xf numFmtId="165" fontId="18" fillId="0" borderId="1" xfId="0" quotePrefix="1" applyNumberFormat="1" applyFont="1" applyBorder="1" applyAlignment="1">
      <alignment horizontal="left" vertical="center" wrapText="1"/>
    </xf>
    <xf numFmtId="9" fontId="18" fillId="0" borderId="1" xfId="0" applyNumberFormat="1" applyFont="1" applyBorder="1" applyAlignment="1">
      <alignment horizontal="left" vertical="center" wrapText="1"/>
    </xf>
    <xf numFmtId="0" fontId="18" fillId="0" borderId="1" xfId="0" applyFont="1" applyBorder="1"/>
    <xf numFmtId="43" fontId="18" fillId="0" borderId="1" xfId="0" applyNumberFormat="1" applyFont="1" applyBorder="1"/>
    <xf numFmtId="0" fontId="18" fillId="3" borderId="1" xfId="0" applyFont="1" applyFill="1" applyBorder="1" applyAlignment="1">
      <alignment horizontal="right" vertical="center" wrapText="1"/>
    </xf>
    <xf numFmtId="43" fontId="15" fillId="3" borderId="1" xfId="0" applyNumberFormat="1" applyFont="1" applyFill="1" applyBorder="1"/>
    <xf numFmtId="43" fontId="18" fillId="18" borderId="1" xfId="0" applyNumberFormat="1" applyFont="1" applyFill="1" applyBorder="1"/>
    <xf numFmtId="0" fontId="18" fillId="3" borderId="1" xfId="0" applyFont="1" applyFill="1" applyBorder="1" applyAlignment="1">
      <alignment horizontal="left" vertical="center" wrapText="1"/>
    </xf>
    <xf numFmtId="43" fontId="18" fillId="0" borderId="0" xfId="0" applyNumberFormat="1" applyFont="1"/>
    <xf numFmtId="43" fontId="18" fillId="19" borderId="1" xfId="4" applyFont="1" applyFill="1" applyBorder="1"/>
    <xf numFmtId="0" fontId="18" fillId="0" borderId="1" xfId="0" applyFont="1" applyBorder="1" applyAlignment="1">
      <alignment vertical="top" wrapText="1"/>
    </xf>
    <xf numFmtId="0" fontId="18" fillId="0" borderId="8" xfId="0" applyFont="1" applyBorder="1" applyAlignment="1">
      <alignment vertical="top" wrapText="1"/>
    </xf>
    <xf numFmtId="165" fontId="18" fillId="0" borderId="10" xfId="0" applyNumberFormat="1" applyFont="1" applyBorder="1" applyAlignment="1">
      <alignment vertical="center" wrapText="1"/>
    </xf>
    <xf numFmtId="165" fontId="18" fillId="0" borderId="7" xfId="0" applyNumberFormat="1" applyFont="1" applyBorder="1" applyAlignment="1">
      <alignment vertical="center" wrapText="1"/>
    </xf>
    <xf numFmtId="0" fontId="15" fillId="0" borderId="5" xfId="0" applyFont="1" applyBorder="1" applyAlignment="1">
      <alignment vertical="top" wrapText="1"/>
    </xf>
    <xf numFmtId="0" fontId="15" fillId="0" borderId="10" xfId="0" applyFont="1" applyBorder="1" applyAlignment="1">
      <alignment vertical="top" wrapText="1"/>
    </xf>
    <xf numFmtId="0" fontId="15" fillId="0" borderId="7" xfId="0" applyFont="1" applyBorder="1" applyAlignment="1">
      <alignment vertical="top" wrapText="1"/>
    </xf>
    <xf numFmtId="0" fontId="18" fillId="0" borderId="5" xfId="0" applyFont="1" applyBorder="1" applyAlignment="1">
      <alignment vertical="top" wrapText="1"/>
    </xf>
    <xf numFmtId="0" fontId="18" fillId="0" borderId="10" xfId="0" applyFont="1" applyBorder="1" applyAlignment="1">
      <alignment vertical="top" wrapText="1"/>
    </xf>
    <xf numFmtId="0" fontId="18" fillId="0" borderId="7" xfId="0" applyFont="1" applyBorder="1" applyAlignment="1">
      <alignment vertical="top" wrapText="1"/>
    </xf>
    <xf numFmtId="0" fontId="3" fillId="19" borderId="1" xfId="1" applyFont="1" applyFill="1" applyBorder="1" applyAlignment="1">
      <alignment horizontal="center" vertical="top" wrapText="1"/>
    </xf>
    <xf numFmtId="0" fontId="3" fillId="16" borderId="7" xfId="1" applyFont="1" applyFill="1" applyBorder="1" applyAlignment="1">
      <alignment horizontal="center" vertical="top"/>
    </xf>
    <xf numFmtId="0" fontId="3" fillId="19" borderId="1" xfId="1" applyFont="1" applyFill="1" applyBorder="1" applyAlignment="1">
      <alignment horizontal="center" vertical="top"/>
    </xf>
    <xf numFmtId="43" fontId="2" fillId="0" borderId="0" xfId="1" applyNumberFormat="1" applyAlignment="1">
      <alignment vertical="top"/>
    </xf>
    <xf numFmtId="0" fontId="2" fillId="14" borderId="1" xfId="1" applyFill="1" applyBorder="1" applyAlignment="1">
      <alignment horizontal="center" vertical="top" wrapText="1"/>
    </xf>
    <xf numFmtId="4" fontId="2" fillId="14" borderId="1" xfId="1" applyNumberFormat="1" applyFill="1" applyBorder="1" applyAlignment="1">
      <alignment horizontal="center" vertical="top" wrapText="1"/>
    </xf>
    <xf numFmtId="43" fontId="2" fillId="7" borderId="1" xfId="2" applyFont="1" applyFill="1" applyBorder="1" applyAlignment="1">
      <alignment horizontal="center" vertical="top"/>
    </xf>
    <xf numFmtId="4" fontId="2" fillId="3" borderId="1" xfId="1" applyNumberFormat="1" applyFill="1" applyBorder="1" applyAlignment="1">
      <alignment horizontal="center" vertical="top"/>
    </xf>
    <xf numFmtId="4" fontId="2" fillId="7" borderId="1" xfId="1" applyNumberFormat="1" applyFill="1" applyBorder="1" applyAlignment="1">
      <alignment horizontal="center" vertical="top"/>
    </xf>
    <xf numFmtId="0" fontId="18" fillId="0" borderId="0" xfId="0" quotePrefix="1" applyFont="1"/>
    <xf numFmtId="0" fontId="18" fillId="0" borderId="8" xfId="0" quotePrefix="1" applyFont="1" applyBorder="1" applyAlignment="1">
      <alignment vertical="top" wrapText="1"/>
    </xf>
    <xf numFmtId="0" fontId="18" fillId="0" borderId="0" xfId="0" quotePrefix="1" applyFont="1" applyAlignment="1">
      <alignment vertical="top" wrapText="1"/>
    </xf>
    <xf numFmtId="43" fontId="18" fillId="0" borderId="1" xfId="4" applyFont="1" applyBorder="1"/>
    <xf numFmtId="4" fontId="2" fillId="7" borderId="1" xfId="1" applyNumberFormat="1" applyFill="1" applyBorder="1" applyAlignment="1">
      <alignment horizontal="center" vertical="top" wrapText="1"/>
    </xf>
    <xf numFmtId="10" fontId="2" fillId="7" borderId="1" xfId="3" applyNumberFormat="1" applyFont="1" applyFill="1" applyBorder="1" applyAlignment="1">
      <alignment horizontal="center" vertical="top"/>
    </xf>
    <xf numFmtId="43" fontId="2" fillId="2" borderId="1" xfId="1" applyNumberFormat="1" applyFill="1" applyBorder="1" applyAlignment="1">
      <alignment horizontal="center" vertical="top" wrapText="1"/>
    </xf>
    <xf numFmtId="4" fontId="9" fillId="0" borderId="0" xfId="1" quotePrefix="1" applyNumberFormat="1" applyFont="1" applyAlignment="1">
      <alignment horizontal="left" vertical="top" wrapText="1"/>
    </xf>
    <xf numFmtId="0" fontId="18" fillId="11" borderId="1" xfId="0" applyFont="1" applyFill="1" applyBorder="1" applyAlignment="1">
      <alignment vertical="top" wrapText="1"/>
    </xf>
    <xf numFmtId="165" fontId="18" fillId="11" borderId="1" xfId="0" applyNumberFormat="1" applyFont="1" applyFill="1" applyBorder="1" applyAlignment="1">
      <alignment horizontal="left" vertical="center" wrapText="1"/>
    </xf>
    <xf numFmtId="0" fontId="18" fillId="11" borderId="1" xfId="0" applyFont="1" applyFill="1" applyBorder="1" applyAlignment="1">
      <alignment horizontal="left" vertical="center" wrapText="1"/>
    </xf>
    <xf numFmtId="43" fontId="18" fillId="11" borderId="1" xfId="0" applyNumberFormat="1" applyFont="1" applyFill="1" applyBorder="1"/>
    <xf numFmtId="0" fontId="18" fillId="11" borderId="1" xfId="0" applyFont="1" applyFill="1" applyBorder="1"/>
    <xf numFmtId="165" fontId="18" fillId="11" borderId="1" xfId="0" applyNumberFormat="1" applyFont="1" applyFill="1" applyBorder="1" applyAlignment="1">
      <alignment wrapText="1"/>
    </xf>
    <xf numFmtId="0" fontId="18" fillId="11" borderId="1" xfId="0" applyFont="1" applyFill="1" applyBorder="1" applyAlignment="1">
      <alignment vertical="center" wrapText="1"/>
    </xf>
    <xf numFmtId="0" fontId="18" fillId="11" borderId="1" xfId="0" applyFont="1" applyFill="1" applyBorder="1" applyAlignment="1">
      <alignment horizontal="center" vertical="center" wrapText="1"/>
    </xf>
    <xf numFmtId="0" fontId="18" fillId="19" borderId="0" xfId="0" applyFont="1" applyFill="1"/>
    <xf numFmtId="43" fontId="18" fillId="19" borderId="0" xfId="0" applyNumberFormat="1" applyFont="1" applyFill="1"/>
    <xf numFmtId="0" fontId="15" fillId="0" borderId="0" xfId="0" applyFont="1"/>
    <xf numFmtId="0" fontId="18" fillId="19" borderId="0" xfId="0" applyFont="1" applyFill="1" applyAlignment="1">
      <alignment wrapText="1"/>
    </xf>
    <xf numFmtId="0" fontId="18" fillId="0" borderId="0" xfId="0" applyFont="1" applyAlignment="1">
      <alignment wrapText="1"/>
    </xf>
    <xf numFmtId="165" fontId="18" fillId="3" borderId="1" xfId="0" applyNumberFormat="1" applyFont="1" applyFill="1" applyBorder="1" applyAlignment="1">
      <alignment horizontal="left" vertical="center" wrapText="1"/>
    </xf>
    <xf numFmtId="165" fontId="18" fillId="3" borderId="1" xfId="0" applyNumberFormat="1" applyFont="1" applyFill="1" applyBorder="1" applyAlignment="1">
      <alignment wrapText="1"/>
    </xf>
    <xf numFmtId="0" fontId="18" fillId="3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top" wrapText="1"/>
    </xf>
    <xf numFmtId="165" fontId="0" fillId="0" borderId="0" xfId="0" applyNumberFormat="1" applyAlignment="1">
      <alignment vertical="top"/>
    </xf>
    <xf numFmtId="165" fontId="4" fillId="0" borderId="0" xfId="1" applyNumberFormat="1" applyFont="1" applyAlignment="1">
      <alignment vertical="top"/>
    </xf>
    <xf numFmtId="165" fontId="2" fillId="0" borderId="0" xfId="1" applyNumberFormat="1" applyAlignment="1">
      <alignment vertical="top"/>
    </xf>
    <xf numFmtId="165" fontId="5" fillId="0" borderId="0" xfId="1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5" fontId="11" fillId="10" borderId="1" xfId="1" applyNumberFormat="1" applyFont="1" applyFill="1" applyBorder="1" applyAlignment="1">
      <alignment horizontal="center" vertical="center" wrapText="1"/>
    </xf>
    <xf numFmtId="165" fontId="4" fillId="0" borderId="0" xfId="1" applyNumberFormat="1" applyFont="1" applyAlignment="1">
      <alignment horizontal="center" vertical="top"/>
    </xf>
    <xf numFmtId="165" fontId="3" fillId="0" borderId="1" xfId="1" applyNumberFormat="1" applyFont="1" applyBorder="1" applyAlignment="1">
      <alignment horizontal="center" vertical="top" wrapText="1"/>
    </xf>
    <xf numFmtId="165" fontId="2" fillId="0" borderId="1" xfId="1" applyNumberFormat="1" applyBorder="1" applyAlignment="1">
      <alignment horizontal="center" vertical="top"/>
    </xf>
    <xf numFmtId="165" fontId="14" fillId="0" borderId="1" xfId="2" applyNumberFormat="1" applyFont="1" applyBorder="1" applyAlignment="1">
      <alignment horizontal="center" vertical="top" wrapText="1"/>
    </xf>
    <xf numFmtId="165" fontId="4" fillId="0" borderId="1" xfId="2" applyNumberFormat="1" applyFont="1" applyBorder="1" applyAlignment="1">
      <alignment vertical="top"/>
    </xf>
    <xf numFmtId="165" fontId="4" fillId="0" borderId="0" xfId="2" applyNumberFormat="1" applyFont="1" applyAlignment="1">
      <alignment vertical="top"/>
    </xf>
    <xf numFmtId="165" fontId="18" fillId="0" borderId="0" xfId="0" applyNumberFormat="1" applyFont="1"/>
    <xf numFmtId="165" fontId="0" fillId="0" borderId="0" xfId="0" applyNumberFormat="1" applyAlignment="1">
      <alignment horizontal="left" vertical="top"/>
    </xf>
    <xf numFmtId="165" fontId="2" fillId="0" borderId="0" xfId="1" applyNumberFormat="1" applyAlignment="1">
      <alignment horizontal="left"/>
    </xf>
    <xf numFmtId="165" fontId="0" fillId="0" borderId="0" xfId="4" applyNumberFormat="1" applyFont="1" applyAlignment="1">
      <alignment vertical="top"/>
    </xf>
    <xf numFmtId="165" fontId="2" fillId="0" borderId="0" xfId="1" applyNumberFormat="1"/>
    <xf numFmtId="165" fontId="0" fillId="0" borderId="0" xfId="4" applyNumberFormat="1" applyFont="1" applyAlignment="1">
      <alignment horizontal="right" vertical="top"/>
    </xf>
    <xf numFmtId="43" fontId="18" fillId="0" borderId="1" xfId="4" applyFont="1" applyFill="1" applyBorder="1"/>
    <xf numFmtId="0" fontId="18" fillId="3" borderId="1" xfId="0" applyFont="1" applyFill="1" applyBorder="1" applyAlignment="1">
      <alignment vertical="top" wrapText="1"/>
    </xf>
    <xf numFmtId="0" fontId="18" fillId="3" borderId="1" xfId="0" applyFont="1" applyFill="1" applyBorder="1" applyAlignment="1">
      <alignment vertical="top"/>
    </xf>
    <xf numFmtId="0" fontId="18" fillId="3" borderId="5" xfId="0" applyFont="1" applyFill="1" applyBorder="1" applyAlignment="1">
      <alignment vertical="top" wrapText="1"/>
    </xf>
    <xf numFmtId="0" fontId="18" fillId="3" borderId="10" xfId="0" applyFont="1" applyFill="1" applyBorder="1" applyAlignment="1">
      <alignment vertical="top" wrapText="1"/>
    </xf>
    <xf numFmtId="0" fontId="18" fillId="3" borderId="7" xfId="0" applyFont="1" applyFill="1" applyBorder="1" applyAlignment="1">
      <alignment vertical="top" wrapText="1"/>
    </xf>
    <xf numFmtId="0" fontId="18" fillId="0" borderId="7" xfId="0" applyFont="1" applyBorder="1" applyAlignment="1">
      <alignment horizontal="left" vertical="center" wrapText="1"/>
    </xf>
    <xf numFmtId="165" fontId="0" fillId="0" borderId="1" xfId="4" applyNumberFormat="1" applyFont="1" applyBorder="1" applyAlignment="1">
      <alignment vertical="top" wrapText="1"/>
    </xf>
    <xf numFmtId="164" fontId="0" fillId="0" borderId="0" xfId="0" applyNumberFormat="1" applyAlignment="1">
      <alignment vertical="top"/>
    </xf>
    <xf numFmtId="164" fontId="18" fillId="0" borderId="1" xfId="0" applyNumberFormat="1" applyFont="1" applyBorder="1"/>
    <xf numFmtId="0" fontId="0" fillId="0" borderId="1" xfId="0" applyBorder="1" applyAlignment="1">
      <alignment horizontal="right" vertical="top" wrapText="1"/>
    </xf>
    <xf numFmtId="165" fontId="0" fillId="0" borderId="1" xfId="4" applyNumberFormat="1" applyFont="1" applyBorder="1" applyAlignment="1">
      <alignment horizontal="right" vertical="top" wrapText="1"/>
    </xf>
    <xf numFmtId="0" fontId="0" fillId="0" borderId="1" xfId="0" applyBorder="1" applyAlignment="1">
      <alignment horizontal="right" vertical="top"/>
    </xf>
    <xf numFmtId="0" fontId="1" fillId="0" borderId="1" xfId="0" applyFont="1" applyBorder="1" applyAlignment="1">
      <alignment horizontal="left" vertical="center" wrapText="1"/>
    </xf>
    <xf numFmtId="165" fontId="0" fillId="0" borderId="0" xfId="4" applyNumberFormat="1" applyFont="1" applyAlignment="1"/>
    <xf numFmtId="43" fontId="1" fillId="0" borderId="1" xfId="0" applyNumberFormat="1" applyFont="1" applyBorder="1"/>
    <xf numFmtId="165" fontId="0" fillId="0" borderId="0" xfId="4" applyNumberFormat="1" applyFont="1" applyAlignment="1">
      <alignment horizontal="right" vertical="top" wrapText="1"/>
    </xf>
    <xf numFmtId="0" fontId="0" fillId="0" borderId="0" xfId="0" applyAlignment="1">
      <alignment horizontal="right" vertical="top" wrapText="1"/>
    </xf>
    <xf numFmtId="165" fontId="2" fillId="0" borderId="1" xfId="1" applyNumberFormat="1" applyBorder="1" applyAlignment="1">
      <alignment horizontal="left" vertical="center" wrapText="1"/>
    </xf>
    <xf numFmtId="0" fontId="2" fillId="0" borderId="1" xfId="1" applyBorder="1" applyAlignment="1">
      <alignment horizontal="left" vertical="center" wrapText="1"/>
    </xf>
    <xf numFmtId="0" fontId="18" fillId="0" borderId="7" xfId="0" applyFont="1" applyBorder="1" applyAlignment="1">
      <alignment horizontal="right" vertical="center" wrapText="1"/>
    </xf>
    <xf numFmtId="10" fontId="5" fillId="7" borderId="1" xfId="5" applyNumberFormat="1" applyFont="1" applyFill="1" applyBorder="1" applyAlignment="1">
      <alignment horizontal="center" vertical="top"/>
    </xf>
    <xf numFmtId="0" fontId="0" fillId="6" borderId="1" xfId="0" applyFill="1" applyBorder="1" applyAlignment="1">
      <alignment horizontal="center" vertical="top"/>
    </xf>
    <xf numFmtId="0" fontId="18" fillId="3" borderId="0" xfId="0" applyFont="1" applyFill="1" applyAlignment="1">
      <alignment horizontal="center" vertical="top"/>
    </xf>
    <xf numFmtId="0" fontId="15" fillId="0" borderId="0" xfId="0" applyFont="1" applyAlignment="1">
      <alignment horizontal="center" vertical="top"/>
    </xf>
    <xf numFmtId="43" fontId="2" fillId="16" borderId="1" xfId="1" applyNumberFormat="1" applyFill="1" applyBorder="1" applyAlignment="1">
      <alignment horizontal="center" vertical="top" wrapText="1"/>
    </xf>
    <xf numFmtId="0" fontId="17" fillId="12" borderId="0" xfId="0" applyFont="1" applyFill="1" applyAlignment="1">
      <alignment horizontal="center" vertical="top"/>
    </xf>
    <xf numFmtId="0" fontId="11" fillId="10" borderId="5" xfId="1" applyFont="1" applyFill="1" applyBorder="1" applyAlignment="1">
      <alignment horizontal="center" vertical="center"/>
    </xf>
    <xf numFmtId="0" fontId="11" fillId="10" borderId="10" xfId="1" applyFont="1" applyFill="1" applyBorder="1" applyAlignment="1">
      <alignment horizontal="center" vertical="center"/>
    </xf>
    <xf numFmtId="4" fontId="5" fillId="7" borderId="5" xfId="1" applyNumberFormat="1" applyFont="1" applyFill="1" applyBorder="1" applyAlignment="1">
      <alignment horizontal="center" vertical="top"/>
    </xf>
    <xf numFmtId="4" fontId="5" fillId="7" borderId="10" xfId="1" applyNumberFormat="1" applyFont="1" applyFill="1" applyBorder="1" applyAlignment="1">
      <alignment horizontal="center" vertical="top"/>
    </xf>
    <xf numFmtId="4" fontId="5" fillId="7" borderId="7" xfId="1" applyNumberFormat="1" applyFont="1" applyFill="1" applyBorder="1" applyAlignment="1">
      <alignment horizontal="center" vertical="top"/>
    </xf>
    <xf numFmtId="43" fontId="14" fillId="0" borderId="1" xfId="2" applyFont="1" applyBorder="1" applyAlignment="1">
      <alignment horizontal="center" vertical="top"/>
    </xf>
    <xf numFmtId="0" fontId="16" fillId="15" borderId="0" xfId="0" applyFont="1" applyFill="1" applyAlignment="1">
      <alignment horizontal="center" vertical="top"/>
    </xf>
    <xf numFmtId="0" fontId="15" fillId="0" borderId="1" xfId="0" applyFont="1" applyBorder="1" applyAlignment="1">
      <alignment horizontal="center" vertical="top"/>
    </xf>
    <xf numFmtId="0" fontId="15" fillId="16" borderId="1" xfId="0" applyFont="1" applyFill="1" applyBorder="1" applyAlignment="1">
      <alignment horizontal="center" vertical="top"/>
    </xf>
    <xf numFmtId="0" fontId="16" fillId="11" borderId="0" xfId="0" applyFont="1" applyFill="1" applyAlignment="1">
      <alignment horizontal="center" vertical="top"/>
    </xf>
    <xf numFmtId="0" fontId="7" fillId="4" borderId="2" xfId="1" applyFont="1" applyFill="1" applyBorder="1" applyAlignment="1">
      <alignment horizontal="center" vertical="top"/>
    </xf>
    <xf numFmtId="0" fontId="7" fillId="4" borderId="3" xfId="1" applyFont="1" applyFill="1" applyBorder="1" applyAlignment="1">
      <alignment horizontal="center" vertical="top"/>
    </xf>
    <xf numFmtId="0" fontId="7" fillId="4" borderId="11" xfId="1" applyFont="1" applyFill="1" applyBorder="1" applyAlignment="1">
      <alignment horizontal="center" vertical="top"/>
    </xf>
    <xf numFmtId="0" fontId="3" fillId="16" borderId="2" xfId="1" applyFont="1" applyFill="1" applyBorder="1" applyAlignment="1">
      <alignment horizontal="center" vertical="top"/>
    </xf>
    <xf numFmtId="0" fontId="3" fillId="16" borderId="3" xfId="1" applyFont="1" applyFill="1" applyBorder="1" applyAlignment="1">
      <alignment horizontal="center" vertical="top"/>
    </xf>
    <xf numFmtId="0" fontId="3" fillId="0" borderId="1" xfId="1" applyFont="1" applyBorder="1" applyAlignment="1">
      <alignment horizontal="center" vertical="top"/>
    </xf>
    <xf numFmtId="165" fontId="2" fillId="0" borderId="8" xfId="1" applyNumberFormat="1" applyBorder="1" applyAlignment="1">
      <alignment horizontal="left" vertical="top" wrapText="1"/>
    </xf>
    <xf numFmtId="165" fontId="2" fillId="0" borderId="0" xfId="1" applyNumberFormat="1" applyAlignment="1">
      <alignment horizontal="left" vertical="top" wrapText="1"/>
    </xf>
    <xf numFmtId="165" fontId="0" fillId="0" borderId="8" xfId="0" applyNumberFormat="1" applyBorder="1" applyAlignment="1">
      <alignment horizontal="left" vertical="top"/>
    </xf>
    <xf numFmtId="165" fontId="0" fillId="0" borderId="0" xfId="0" applyNumberFormat="1" applyAlignment="1">
      <alignment horizontal="left" vertical="top"/>
    </xf>
    <xf numFmtId="165" fontId="0" fillId="0" borderId="8" xfId="0" applyNumberFormat="1" applyBorder="1" applyAlignment="1">
      <alignment horizontal="left" vertical="top" wrapText="1"/>
    </xf>
    <xf numFmtId="165" fontId="0" fillId="0" borderId="0" xfId="0" applyNumberFormat="1" applyAlignment="1">
      <alignment horizontal="left" vertical="top" wrapText="1"/>
    </xf>
    <xf numFmtId="0" fontId="18" fillId="3" borderId="5" xfId="0" applyFont="1" applyFill="1" applyBorder="1" applyAlignment="1">
      <alignment horizontal="center" vertical="top"/>
    </xf>
    <xf numFmtId="0" fontId="18" fillId="3" borderId="10" xfId="0" applyFont="1" applyFill="1" applyBorder="1" applyAlignment="1">
      <alignment horizontal="center" vertical="top"/>
    </xf>
    <xf numFmtId="0" fontId="18" fillId="3" borderId="7" xfId="0" applyFont="1" applyFill="1" applyBorder="1" applyAlignment="1">
      <alignment horizontal="center" vertical="top"/>
    </xf>
    <xf numFmtId="0" fontId="1" fillId="0" borderId="4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18" fillId="3" borderId="5" xfId="0" applyFont="1" applyFill="1" applyBorder="1" applyAlignment="1">
      <alignment horizontal="center" vertical="top" wrapText="1"/>
    </xf>
    <xf numFmtId="0" fontId="18" fillId="3" borderId="10" xfId="0" applyFont="1" applyFill="1" applyBorder="1" applyAlignment="1">
      <alignment horizontal="center" vertical="top" wrapText="1"/>
    </xf>
    <xf numFmtId="0" fontId="18" fillId="3" borderId="7" xfId="0" applyFont="1" applyFill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/>
    </xf>
    <xf numFmtId="0" fontId="18" fillId="0" borderId="9" xfId="0" applyFont="1" applyBorder="1" applyAlignment="1">
      <alignment horizontal="center" vertical="top"/>
    </xf>
    <xf numFmtId="0" fontId="18" fillId="0" borderId="6" xfId="0" applyFont="1" applyBorder="1" applyAlignment="1">
      <alignment horizontal="center" vertical="top"/>
    </xf>
    <xf numFmtId="0" fontId="18" fillId="0" borderId="4" xfId="0" applyFont="1" applyBorder="1" applyAlignment="1">
      <alignment horizontal="center" vertical="top" wrapText="1"/>
    </xf>
    <xf numFmtId="0" fontId="18" fillId="0" borderId="9" xfId="0" applyFont="1" applyBorder="1" applyAlignment="1">
      <alignment horizontal="center" vertical="top" wrapText="1"/>
    </xf>
    <xf numFmtId="0" fontId="18" fillId="0" borderId="6" xfId="0" applyFont="1" applyBorder="1" applyAlignment="1">
      <alignment horizontal="center" vertical="top" wrapText="1"/>
    </xf>
    <xf numFmtId="43" fontId="18" fillId="3" borderId="5" xfId="4" applyFont="1" applyFill="1" applyBorder="1" applyAlignment="1">
      <alignment horizontal="center"/>
    </xf>
    <xf numFmtId="43" fontId="18" fillId="3" borderId="10" xfId="4" applyFont="1" applyFill="1" applyBorder="1" applyAlignment="1">
      <alignment horizontal="center"/>
    </xf>
    <xf numFmtId="43" fontId="18" fillId="3" borderId="7" xfId="4" applyFont="1" applyFill="1" applyBorder="1" applyAlignment="1">
      <alignment horizontal="center"/>
    </xf>
    <xf numFmtId="0" fontId="18" fillId="3" borderId="12" xfId="0" applyFont="1" applyFill="1" applyBorder="1" applyAlignment="1">
      <alignment horizontal="center" vertical="top"/>
    </xf>
    <xf numFmtId="0" fontId="18" fillId="3" borderId="13" xfId="0" applyFont="1" applyFill="1" applyBorder="1" applyAlignment="1">
      <alignment horizontal="center" vertical="top"/>
    </xf>
    <xf numFmtId="0" fontId="18" fillId="3" borderId="14" xfId="0" applyFont="1" applyFill="1" applyBorder="1" applyAlignment="1">
      <alignment horizontal="center" vertical="top"/>
    </xf>
    <xf numFmtId="0" fontId="22" fillId="0" borderId="5" xfId="0" applyFont="1" applyBorder="1" applyAlignment="1">
      <alignment horizontal="center" vertical="top"/>
    </xf>
    <xf numFmtId="0" fontId="22" fillId="0" borderId="10" xfId="0" applyFont="1" applyBorder="1" applyAlignment="1">
      <alignment horizontal="center" vertical="top"/>
    </xf>
    <xf numFmtId="0" fontId="22" fillId="0" borderId="7" xfId="0" applyFont="1" applyBorder="1" applyAlignment="1">
      <alignment horizontal="center" vertical="top"/>
    </xf>
    <xf numFmtId="0" fontId="22" fillId="2" borderId="1" xfId="0" applyFont="1" applyFill="1" applyBorder="1" applyAlignment="1">
      <alignment horizontal="center" vertical="center"/>
    </xf>
    <xf numFmtId="0" fontId="22" fillId="2" borderId="8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vertical="top"/>
    </xf>
    <xf numFmtId="0" fontId="18" fillId="0" borderId="1" xfId="0" applyFont="1" applyBorder="1" applyAlignment="1">
      <alignment horizontal="left" vertical="top" wrapText="1"/>
    </xf>
    <xf numFmtId="0" fontId="15" fillId="11" borderId="1" xfId="0" applyFont="1" applyFill="1" applyBorder="1" applyAlignment="1">
      <alignment horizontal="center" vertical="top" wrapText="1"/>
    </xf>
    <xf numFmtId="0" fontId="17" fillId="3" borderId="0" xfId="0" applyFont="1" applyFill="1" applyAlignment="1">
      <alignment horizontal="center" vertical="top"/>
    </xf>
    <xf numFmtId="0" fontId="16" fillId="17" borderId="0" xfId="0" applyFont="1" applyFill="1" applyAlignment="1">
      <alignment horizontal="center" vertical="top"/>
    </xf>
    <xf numFmtId="0" fontId="3" fillId="0" borderId="5" xfId="1" applyFont="1" applyBorder="1" applyAlignment="1">
      <alignment horizontal="center" vertical="top"/>
    </xf>
    <xf numFmtId="0" fontId="3" fillId="0" borderId="10" xfId="1" applyFont="1" applyBorder="1" applyAlignment="1">
      <alignment horizontal="center" vertical="top"/>
    </xf>
    <xf numFmtId="0" fontId="3" fillId="0" borderId="7" xfId="1" applyFont="1" applyBorder="1" applyAlignment="1">
      <alignment horizontal="center" vertical="top"/>
    </xf>
    <xf numFmtId="43" fontId="14" fillId="0" borderId="5" xfId="2" applyFont="1" applyBorder="1" applyAlignment="1">
      <alignment horizontal="center" vertical="top"/>
    </xf>
    <xf numFmtId="43" fontId="14" fillId="0" borderId="10" xfId="2" applyFont="1" applyBorder="1" applyAlignment="1">
      <alignment horizontal="center" vertical="top"/>
    </xf>
    <xf numFmtId="43" fontId="14" fillId="0" borderId="7" xfId="2" applyFont="1" applyBorder="1" applyAlignment="1">
      <alignment horizontal="center" vertical="top"/>
    </xf>
    <xf numFmtId="0" fontId="2" fillId="0" borderId="4" xfId="1" applyBorder="1" applyAlignment="1">
      <alignment horizontal="center" vertical="top"/>
    </xf>
    <xf numFmtId="0" fontId="2" fillId="0" borderId="9" xfId="1" applyBorder="1" applyAlignment="1">
      <alignment horizontal="center" vertical="top"/>
    </xf>
    <xf numFmtId="0" fontId="2" fillId="0" borderId="6" xfId="1" applyBorder="1" applyAlignment="1">
      <alignment horizontal="center" vertical="top"/>
    </xf>
    <xf numFmtId="0" fontId="15" fillId="19" borderId="1" xfId="0" applyFont="1" applyFill="1" applyBorder="1" applyAlignment="1">
      <alignment horizontal="center" vertical="top"/>
    </xf>
    <xf numFmtId="0" fontId="15" fillId="2" borderId="2" xfId="0" applyFont="1" applyFill="1" applyBorder="1" applyAlignment="1">
      <alignment horizontal="center" vertical="top"/>
    </xf>
    <xf numFmtId="0" fontId="15" fillId="2" borderId="3" xfId="0" applyFont="1" applyFill="1" applyBorder="1" applyAlignment="1">
      <alignment horizontal="center" vertical="top"/>
    </xf>
    <xf numFmtId="0" fontId="15" fillId="19" borderId="5" xfId="0" applyFont="1" applyFill="1" applyBorder="1" applyAlignment="1">
      <alignment horizontal="center" vertical="top"/>
    </xf>
    <xf numFmtId="0" fontId="15" fillId="19" borderId="7" xfId="0" applyFont="1" applyFill="1" applyBorder="1" applyAlignment="1">
      <alignment horizontal="center" vertical="top"/>
    </xf>
    <xf numFmtId="0" fontId="15" fillId="16" borderId="5" xfId="0" applyFont="1" applyFill="1" applyBorder="1" applyAlignment="1">
      <alignment horizontal="center" vertical="top"/>
    </xf>
    <xf numFmtId="0" fontId="15" fillId="16" borderId="7" xfId="0" applyFont="1" applyFill="1" applyBorder="1" applyAlignment="1">
      <alignment horizontal="center" vertical="top"/>
    </xf>
    <xf numFmtId="0" fontId="0" fillId="6" borderId="4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2" fillId="0" borderId="14" xfId="1" applyBorder="1" applyAlignment="1">
      <alignment horizontal="center" vertical="top"/>
    </xf>
    <xf numFmtId="0" fontId="2" fillId="0" borderId="15" xfId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2" fillId="13" borderId="1" xfId="1" applyFill="1" applyBorder="1" applyAlignment="1">
      <alignment horizontal="center" vertical="top" wrapText="1"/>
    </xf>
    <xf numFmtId="0" fontId="15" fillId="0" borderId="1" xfId="0" applyFont="1" applyFill="1" applyBorder="1" applyAlignment="1">
      <alignment horizontal="center" vertical="top"/>
    </xf>
    <xf numFmtId="0" fontId="3" fillId="0" borderId="1" xfId="1" applyFont="1" applyFill="1" applyBorder="1" applyAlignment="1">
      <alignment horizontal="center" vertical="top" wrapText="1"/>
    </xf>
    <xf numFmtId="14" fontId="2" fillId="12" borderId="1" xfId="1" applyNumberFormat="1" applyFill="1" applyBorder="1" applyAlignment="1">
      <alignment horizontal="center" vertical="top"/>
    </xf>
    <xf numFmtId="0" fontId="6" fillId="12" borderId="1" xfId="1" applyFont="1" applyFill="1" applyBorder="1" applyAlignment="1">
      <alignment horizontal="center" vertical="top"/>
    </xf>
    <xf numFmtId="20" fontId="6" fillId="3" borderId="1" xfId="1" applyNumberFormat="1" applyFont="1" applyFill="1" applyBorder="1" applyAlignment="1">
      <alignment horizontal="center" vertical="top"/>
    </xf>
    <xf numFmtId="4" fontId="2" fillId="6" borderId="1" xfId="1" applyNumberFormat="1" applyFill="1" applyBorder="1" applyAlignment="1">
      <alignment horizontal="center" vertical="top" wrapText="1"/>
    </xf>
    <xf numFmtId="4" fontId="2" fillId="6" borderId="1" xfId="1" applyNumberFormat="1" applyFill="1" applyBorder="1" applyAlignment="1">
      <alignment horizontal="center" vertical="center" wrapText="1"/>
    </xf>
    <xf numFmtId="14" fontId="2" fillId="12" borderId="0" xfId="1" applyNumberFormat="1" applyFill="1" applyAlignment="1">
      <alignment horizontal="left" vertical="top" wrapText="1"/>
    </xf>
    <xf numFmtId="0" fontId="24" fillId="0" borderId="0" xfId="0" quotePrefix="1" applyFont="1" applyAlignment="1">
      <alignment vertical="top"/>
    </xf>
    <xf numFmtId="0" fontId="2" fillId="3" borderId="1" xfId="1" applyFont="1" applyFill="1" applyBorder="1" applyAlignment="1">
      <alignment horizontal="center" vertical="top"/>
    </xf>
    <xf numFmtId="4" fontId="2" fillId="3" borderId="1" xfId="1" applyNumberFormat="1" applyFont="1" applyFill="1" applyBorder="1" applyAlignment="1">
      <alignment horizontal="center" vertical="top"/>
    </xf>
    <xf numFmtId="0" fontId="2" fillId="0" borderId="0" xfId="1" quotePrefix="1" applyAlignment="1">
      <alignment vertical="top"/>
    </xf>
    <xf numFmtId="0" fontId="2" fillId="13" borderId="1" xfId="1" applyFill="1" applyBorder="1" applyAlignment="1">
      <alignment vertical="top" wrapText="1"/>
    </xf>
    <xf numFmtId="4" fontId="2" fillId="13" borderId="1" xfId="1" applyNumberFormat="1" applyFill="1" applyBorder="1" applyAlignment="1">
      <alignment horizontal="center" vertical="top" wrapText="1"/>
    </xf>
    <xf numFmtId="43" fontId="4" fillId="13" borderId="1" xfId="1" applyNumberFormat="1" applyFont="1" applyFill="1" applyBorder="1" applyAlignment="1">
      <alignment vertical="top" wrapText="1"/>
    </xf>
    <xf numFmtId="43" fontId="4" fillId="13" borderId="1" xfId="2" applyFont="1" applyFill="1" applyBorder="1" applyAlignment="1">
      <alignment vertical="top" wrapText="1"/>
    </xf>
    <xf numFmtId="43" fontId="4" fillId="2" borderId="1" xfId="2" applyFont="1" applyFill="1" applyBorder="1" applyAlignment="1">
      <alignment horizontal="center" vertical="top"/>
    </xf>
    <xf numFmtId="43" fontId="4" fillId="2" borderId="1" xfId="2" applyFont="1" applyFill="1" applyBorder="1" applyAlignment="1">
      <alignment horizontal="center" vertical="top" wrapText="1"/>
    </xf>
    <xf numFmtId="0" fontId="21" fillId="13" borderId="1" xfId="1" applyFont="1" applyFill="1" applyBorder="1" applyAlignment="1">
      <alignment horizontal="center" vertical="top" wrapText="1"/>
    </xf>
    <xf numFmtId="4" fontId="4" fillId="14" borderId="1" xfId="1" applyNumberFormat="1" applyFont="1" applyFill="1" applyBorder="1" applyAlignment="1">
      <alignment horizontal="center" vertical="top" wrapText="1"/>
    </xf>
    <xf numFmtId="43" fontId="4" fillId="14" borderId="1" xfId="2" applyFont="1" applyFill="1" applyBorder="1" applyAlignment="1">
      <alignment vertical="top" wrapText="1"/>
    </xf>
    <xf numFmtId="43" fontId="2" fillId="2" borderId="1" xfId="1" applyNumberFormat="1" applyFill="1" applyBorder="1" applyAlignment="1">
      <alignment vertical="top" wrapText="1"/>
    </xf>
  </cellXfs>
  <cellStyles count="6">
    <cellStyle name="Comma" xfId="4" builtinId="3"/>
    <cellStyle name="Comma 2" xfId="2" xr:uid="{E314FCFA-21BB-46EE-8774-CBE781A2D3E2}"/>
    <cellStyle name="Normal" xfId="0" builtinId="0"/>
    <cellStyle name="Normal 2" xfId="1" xr:uid="{F919A9FB-88C4-4123-84E8-8D4E588CC77F}"/>
    <cellStyle name="Percent" xfId="5" builtinId="5"/>
    <cellStyle name="Percent 2" xfId="3" xr:uid="{BB3F5E94-C6F1-47B9-B374-BD3F2881863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18</xdr:col>
      <xdr:colOff>428940</xdr:colOff>
      <xdr:row>24</xdr:row>
      <xdr:rowOff>127000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794AEC-6051-448F-9378-34262B5724C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3255"/>
        <a:stretch/>
      </xdr:blipFill>
      <xdr:spPr>
        <a:xfrm>
          <a:off x="609600" y="552450"/>
          <a:ext cx="10792140" cy="3994150"/>
        </a:xfrm>
        <a:prstGeom prst="rect">
          <a:avLst/>
        </a:prstGeom>
      </xdr:spPr>
    </xdr:pic>
    <xdr:clientData/>
  </xdr:twoCellAnchor>
  <xdr:twoCellAnchor>
    <xdr:from>
      <xdr:col>8</xdr:col>
      <xdr:colOff>438150</xdr:colOff>
      <xdr:row>9</xdr:row>
      <xdr:rowOff>44450</xdr:rowOff>
    </xdr:from>
    <xdr:to>
      <xdr:col>9</xdr:col>
      <xdr:colOff>508000</xdr:colOff>
      <xdr:row>11</xdr:row>
      <xdr:rowOff>152400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380BDFF0-4873-408B-BF51-D798882F4F66}"/>
            </a:ext>
          </a:extLst>
        </xdr:cNvPr>
        <xdr:cNvSpPr/>
      </xdr:nvSpPr>
      <xdr:spPr>
        <a:xfrm>
          <a:off x="5314950" y="1701800"/>
          <a:ext cx="679450" cy="476250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9</xdr:col>
      <xdr:colOff>25400</xdr:colOff>
      <xdr:row>1</xdr:row>
      <xdr:rowOff>76200</xdr:rowOff>
    </xdr:from>
    <xdr:to>
      <xdr:col>12</xdr:col>
      <xdr:colOff>273050</xdr:colOff>
      <xdr:row>4</xdr:row>
      <xdr:rowOff>165100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BB3A09F-1C0F-4A87-A9F8-08912023E4AA}"/>
            </a:ext>
          </a:extLst>
        </xdr:cNvPr>
        <xdr:cNvSpPr txBox="1"/>
      </xdr:nvSpPr>
      <xdr:spPr>
        <a:xfrm>
          <a:off x="5511800" y="260350"/>
          <a:ext cx="207645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/>
            <a:t>PO dibuat sekalgu</a:t>
          </a:r>
          <a:r>
            <a:rPr lang="id-ID" sz="1000" baseline="0"/>
            <a:t>s meminta kepada vendor terpilih untuk memberikan rincian roll material slitt</a:t>
          </a:r>
          <a:endParaRPr lang="id-ID" sz="1000"/>
        </a:p>
      </xdr:txBody>
    </xdr:sp>
    <xdr:clientData/>
  </xdr:twoCellAnchor>
  <xdr:twoCellAnchor>
    <xdr:from>
      <xdr:col>9</xdr:col>
      <xdr:colOff>168275</xdr:colOff>
      <xdr:row>4</xdr:row>
      <xdr:rowOff>165100</xdr:rowOff>
    </xdr:from>
    <xdr:to>
      <xdr:col>10</xdr:col>
      <xdr:colOff>454025</xdr:colOff>
      <xdr:row>9</xdr:row>
      <xdr:rowOff>44450</xdr:rowOff>
    </xdr:to>
    <xdr:cxnSp macro="">
      <xdr:nvCxnSpPr>
        <xdr:cNvPr id="7" name="Connector: Elbow 6">
          <a:extLst>
            <a:ext uri="{FF2B5EF4-FFF2-40B4-BE49-F238E27FC236}">
              <a16:creationId xmlns:a16="http://schemas.microsoft.com/office/drawing/2014/main" id="{CAE3B54D-EB57-4119-99EA-E54B3FAD0E5C}"/>
            </a:ext>
          </a:extLst>
        </xdr:cNvPr>
        <xdr:cNvCxnSpPr>
          <a:stCxn id="4" idx="0"/>
          <a:endCxn id="5" idx="2"/>
        </xdr:cNvCxnSpPr>
      </xdr:nvCxnSpPr>
      <xdr:spPr>
        <a:xfrm rot="5400000" flipH="1" flipV="1">
          <a:off x="5702300" y="854075"/>
          <a:ext cx="800100" cy="895350"/>
        </a:xfrm>
        <a:prstGeom prst="bentConnector3">
          <a:avLst>
            <a:gd name="adj1" fmla="val 67460"/>
          </a:avLst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27</xdr:row>
      <xdr:rowOff>0</xdr:rowOff>
    </xdr:from>
    <xdr:to>
      <xdr:col>17</xdr:col>
      <xdr:colOff>548058</xdr:colOff>
      <xdr:row>46</xdr:row>
      <xdr:rowOff>44449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00EF77F-01C7-41A8-8D86-20EFB10DA8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8167"/>
        <a:stretch/>
      </xdr:blipFill>
      <xdr:spPr>
        <a:xfrm>
          <a:off x="609600" y="4972050"/>
          <a:ext cx="10301658" cy="3543299"/>
        </a:xfrm>
        <a:prstGeom prst="rect">
          <a:avLst/>
        </a:prstGeom>
      </xdr:spPr>
    </xdr:pic>
    <xdr:clientData/>
  </xdr:twoCellAnchor>
  <xdr:twoCellAnchor>
    <xdr:from>
      <xdr:col>10</xdr:col>
      <xdr:colOff>196850</xdr:colOff>
      <xdr:row>32</xdr:row>
      <xdr:rowOff>139700</xdr:rowOff>
    </xdr:from>
    <xdr:to>
      <xdr:col>12</xdr:col>
      <xdr:colOff>107950</xdr:colOff>
      <xdr:row>36</xdr:row>
      <xdr:rowOff>120650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C6FFA945-872E-4978-AC13-D9516E8A1093}"/>
            </a:ext>
          </a:extLst>
        </xdr:cNvPr>
        <xdr:cNvSpPr/>
      </xdr:nvSpPr>
      <xdr:spPr>
        <a:xfrm>
          <a:off x="6292850" y="6032500"/>
          <a:ext cx="1130300" cy="717550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7</xdr:col>
      <xdr:colOff>0</xdr:colOff>
      <xdr:row>28</xdr:row>
      <xdr:rowOff>6350</xdr:rowOff>
    </xdr:from>
    <xdr:to>
      <xdr:col>10</xdr:col>
      <xdr:colOff>247650</xdr:colOff>
      <xdr:row>31</xdr:row>
      <xdr:rowOff>95250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5FBFB97-3CCA-440A-9169-1EF416D48887}"/>
            </a:ext>
          </a:extLst>
        </xdr:cNvPr>
        <xdr:cNvSpPr txBox="1"/>
      </xdr:nvSpPr>
      <xdr:spPr>
        <a:xfrm>
          <a:off x="4267200" y="5162550"/>
          <a:ext cx="2076450" cy="6413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/>
            <a:t>Packing list sudah termasuk upload dokumen rincian slit untuk digrouping</a:t>
          </a:r>
        </a:p>
      </xdr:txBody>
    </xdr:sp>
    <xdr:clientData/>
  </xdr:twoCellAnchor>
  <xdr:twoCellAnchor>
    <xdr:from>
      <xdr:col>10</xdr:col>
      <xdr:colOff>247650</xdr:colOff>
      <xdr:row>29</xdr:row>
      <xdr:rowOff>142875</xdr:rowOff>
    </xdr:from>
    <xdr:to>
      <xdr:col>11</xdr:col>
      <xdr:colOff>152400</xdr:colOff>
      <xdr:row>32</xdr:row>
      <xdr:rowOff>139700</xdr:rowOff>
    </xdr:to>
    <xdr:cxnSp macro="">
      <xdr:nvCxnSpPr>
        <xdr:cNvPr id="13" name="Connector: Elbow 12">
          <a:extLst>
            <a:ext uri="{FF2B5EF4-FFF2-40B4-BE49-F238E27FC236}">
              <a16:creationId xmlns:a16="http://schemas.microsoft.com/office/drawing/2014/main" id="{8D897F81-B572-4A84-9C88-38D9EA88783C}"/>
            </a:ext>
          </a:extLst>
        </xdr:cNvPr>
        <xdr:cNvCxnSpPr>
          <a:stCxn id="12" idx="3"/>
          <a:endCxn id="11" idx="0"/>
        </xdr:cNvCxnSpPr>
      </xdr:nvCxnSpPr>
      <xdr:spPr>
        <a:xfrm>
          <a:off x="6343650" y="5483225"/>
          <a:ext cx="514350" cy="549275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612587</xdr:colOff>
      <xdr:row>49</xdr:row>
      <xdr:rowOff>186764</xdr:rowOff>
    </xdr:from>
    <xdr:to>
      <xdr:col>19</xdr:col>
      <xdr:colOff>38050</xdr:colOff>
      <xdr:row>76</xdr:row>
      <xdr:rowOff>14940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7697309A-BC30-462A-AA05-9B7900B8018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1679"/>
        <a:stretch/>
      </xdr:blipFill>
      <xdr:spPr>
        <a:xfrm>
          <a:off x="612587" y="8964705"/>
          <a:ext cx="11064639" cy="4870823"/>
        </a:xfrm>
        <a:prstGeom prst="rect">
          <a:avLst/>
        </a:prstGeom>
      </xdr:spPr>
    </xdr:pic>
    <xdr:clientData/>
  </xdr:twoCellAnchor>
  <xdr:twoCellAnchor>
    <xdr:from>
      <xdr:col>1</xdr:col>
      <xdr:colOff>495674</xdr:colOff>
      <xdr:row>51</xdr:row>
      <xdr:rowOff>186763</xdr:rowOff>
    </xdr:from>
    <xdr:to>
      <xdr:col>3</xdr:col>
      <xdr:colOff>194235</xdr:colOff>
      <xdr:row>56</xdr:row>
      <xdr:rowOff>52294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E8DE165-0E40-4F2F-AB0B-B3F87FFEF998}"/>
            </a:ext>
          </a:extLst>
        </xdr:cNvPr>
        <xdr:cNvSpPr/>
      </xdr:nvSpPr>
      <xdr:spPr>
        <a:xfrm>
          <a:off x="1108262" y="9338234"/>
          <a:ext cx="923738" cy="799354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5</xdr:col>
      <xdr:colOff>112059</xdr:colOff>
      <xdr:row>47</xdr:row>
      <xdr:rowOff>186764</xdr:rowOff>
    </xdr:from>
    <xdr:to>
      <xdr:col>8</xdr:col>
      <xdr:colOff>359708</xdr:colOff>
      <xdr:row>51</xdr:row>
      <xdr:rowOff>111310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BFDB5F3D-8991-4159-AD52-B53E7496FA92}"/>
            </a:ext>
          </a:extLst>
        </xdr:cNvPr>
        <xdr:cNvSpPr txBox="1"/>
      </xdr:nvSpPr>
      <xdr:spPr>
        <a:xfrm>
          <a:off x="3175000" y="8964705"/>
          <a:ext cx="2085414" cy="67160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/>
            <a:t>Data</a:t>
          </a:r>
          <a:r>
            <a:rPr lang="id-ID" sz="1000" baseline="0"/>
            <a:t> rincian packing list roll material slitt sudah masuk dalam 1 pack/group di incoming</a:t>
          </a:r>
          <a:endParaRPr lang="id-ID" sz="1000"/>
        </a:p>
      </xdr:txBody>
    </xdr:sp>
    <xdr:clientData/>
  </xdr:twoCellAnchor>
  <xdr:twoCellAnchor>
    <xdr:from>
      <xdr:col>2</xdr:col>
      <xdr:colOff>344956</xdr:colOff>
      <xdr:row>49</xdr:row>
      <xdr:rowOff>149036</xdr:rowOff>
    </xdr:from>
    <xdr:to>
      <xdr:col>5</xdr:col>
      <xdr:colOff>112060</xdr:colOff>
      <xdr:row>51</xdr:row>
      <xdr:rowOff>186762</xdr:rowOff>
    </xdr:to>
    <xdr:cxnSp macro="">
      <xdr:nvCxnSpPr>
        <xdr:cNvPr id="21" name="Connector: Elbow 20">
          <a:extLst>
            <a:ext uri="{FF2B5EF4-FFF2-40B4-BE49-F238E27FC236}">
              <a16:creationId xmlns:a16="http://schemas.microsoft.com/office/drawing/2014/main" id="{D60A6AF8-440D-4D47-BFDD-97B9BDA5CD44}"/>
            </a:ext>
          </a:extLst>
        </xdr:cNvPr>
        <xdr:cNvCxnSpPr>
          <a:stCxn id="20" idx="1"/>
          <a:endCxn id="19" idx="0"/>
        </xdr:cNvCxnSpPr>
      </xdr:nvCxnSpPr>
      <xdr:spPr>
        <a:xfrm rot="10800000" flipV="1">
          <a:off x="1570132" y="9300507"/>
          <a:ext cx="1604869" cy="411255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313765</xdr:colOff>
      <xdr:row>56</xdr:row>
      <xdr:rowOff>164354</xdr:rowOff>
    </xdr:from>
    <xdr:to>
      <xdr:col>14</xdr:col>
      <xdr:colOff>366059</xdr:colOff>
      <xdr:row>59</xdr:row>
      <xdr:rowOff>104589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97DCF363-6AFB-425B-81C0-41BB046160B4}"/>
            </a:ext>
          </a:extLst>
        </xdr:cNvPr>
        <xdr:cNvSpPr/>
      </xdr:nvSpPr>
      <xdr:spPr>
        <a:xfrm>
          <a:off x="8277412" y="10249648"/>
          <a:ext cx="664882" cy="500529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12</xdr:col>
      <xdr:colOff>254000</xdr:colOff>
      <xdr:row>50</xdr:row>
      <xdr:rowOff>37352</xdr:rowOff>
    </xdr:from>
    <xdr:to>
      <xdr:col>14</xdr:col>
      <xdr:colOff>425824</xdr:colOff>
      <xdr:row>53</xdr:row>
      <xdr:rowOff>179293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98F7AC2A-33FF-4D39-B9B0-DBFC8005CBA6}"/>
            </a:ext>
          </a:extLst>
        </xdr:cNvPr>
        <xdr:cNvSpPr txBox="1"/>
      </xdr:nvSpPr>
      <xdr:spPr>
        <a:xfrm>
          <a:off x="7605059" y="9002058"/>
          <a:ext cx="1397000" cy="7022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/>
            <a:t>Material yang</a:t>
          </a:r>
          <a:r>
            <a:rPr lang="id-ID" sz="1000" baseline="0"/>
            <a:t> keluar dari Gudang Produksi 1 sudah 1 Pack/group</a:t>
          </a:r>
          <a:endParaRPr lang="id-ID" sz="1000"/>
        </a:p>
      </xdr:txBody>
    </xdr:sp>
    <xdr:clientData/>
  </xdr:twoCellAnchor>
  <xdr:twoCellAnchor>
    <xdr:from>
      <xdr:col>13</xdr:col>
      <xdr:colOff>339913</xdr:colOff>
      <xdr:row>53</xdr:row>
      <xdr:rowOff>179292</xdr:rowOff>
    </xdr:from>
    <xdr:to>
      <xdr:col>14</xdr:col>
      <xdr:colOff>33619</xdr:colOff>
      <xdr:row>56</xdr:row>
      <xdr:rowOff>164353</xdr:rowOff>
    </xdr:to>
    <xdr:cxnSp macro="">
      <xdr:nvCxnSpPr>
        <xdr:cNvPr id="35" name="Connector: Elbow 34">
          <a:extLst>
            <a:ext uri="{FF2B5EF4-FFF2-40B4-BE49-F238E27FC236}">
              <a16:creationId xmlns:a16="http://schemas.microsoft.com/office/drawing/2014/main" id="{0EF49BFC-1CD8-4D2E-B239-0A49CCFABB2E}"/>
            </a:ext>
          </a:extLst>
        </xdr:cNvPr>
        <xdr:cNvCxnSpPr>
          <a:stCxn id="34" idx="2"/>
          <a:endCxn id="33" idx="0"/>
        </xdr:cNvCxnSpPr>
      </xdr:nvCxnSpPr>
      <xdr:spPr>
        <a:xfrm rot="16200000" flipH="1">
          <a:off x="8184029" y="10010588"/>
          <a:ext cx="545355" cy="306294"/>
        </a:xfrm>
        <a:prstGeom prst="bentConnector3">
          <a:avLst>
            <a:gd name="adj1" fmla="val 50000"/>
          </a:avLst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79</xdr:row>
      <xdr:rowOff>0</xdr:rowOff>
    </xdr:from>
    <xdr:to>
      <xdr:col>17</xdr:col>
      <xdr:colOff>328706</xdr:colOff>
      <xdr:row>107</xdr:row>
      <xdr:rowOff>145275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1748E16C-C910-4D23-9766-2FDE468701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10482"/>
        <a:stretch/>
      </xdr:blipFill>
      <xdr:spPr>
        <a:xfrm>
          <a:off x="612588" y="14754412"/>
          <a:ext cx="10130118" cy="5374687"/>
        </a:xfrm>
        <a:prstGeom prst="rect">
          <a:avLst/>
        </a:prstGeom>
      </xdr:spPr>
    </xdr:pic>
    <xdr:clientData/>
  </xdr:twoCellAnchor>
  <xdr:twoCellAnchor>
    <xdr:from>
      <xdr:col>4</xdr:col>
      <xdr:colOff>82177</xdr:colOff>
      <xdr:row>92</xdr:row>
      <xdr:rowOff>156882</xdr:rowOff>
    </xdr:from>
    <xdr:to>
      <xdr:col>5</xdr:col>
      <xdr:colOff>149413</xdr:colOff>
      <xdr:row>95</xdr:row>
      <xdr:rowOff>134471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69AB92B2-429A-4832-9A12-127F7693BA37}"/>
            </a:ext>
          </a:extLst>
        </xdr:cNvPr>
        <xdr:cNvSpPr/>
      </xdr:nvSpPr>
      <xdr:spPr>
        <a:xfrm>
          <a:off x="2532530" y="17339235"/>
          <a:ext cx="679824" cy="537883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2</xdr:col>
      <xdr:colOff>425823</xdr:colOff>
      <xdr:row>97</xdr:row>
      <xdr:rowOff>171824</xdr:rowOff>
    </xdr:from>
    <xdr:to>
      <xdr:col>5</xdr:col>
      <xdr:colOff>89647</xdr:colOff>
      <xdr:row>102</xdr:row>
      <xdr:rowOff>29882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02F192C-D6EB-4234-A4F4-C82A70A10B0B}"/>
            </a:ext>
          </a:extLst>
        </xdr:cNvPr>
        <xdr:cNvSpPr txBox="1"/>
      </xdr:nvSpPr>
      <xdr:spPr>
        <a:xfrm>
          <a:off x="1650999" y="18288000"/>
          <a:ext cx="1501589" cy="791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/>
            <a:t>Dilakukan proses unpack untuk</a:t>
          </a:r>
          <a:r>
            <a:rPr lang="id-ID" sz="1000" baseline="0"/>
            <a:t> cek dan input data roll baby coil dalam 1 pack</a:t>
          </a:r>
          <a:endParaRPr lang="id-ID" sz="1000"/>
        </a:p>
      </xdr:txBody>
    </xdr:sp>
    <xdr:clientData/>
  </xdr:twoCellAnchor>
  <xdr:twoCellAnchor>
    <xdr:from>
      <xdr:col>3</xdr:col>
      <xdr:colOff>564029</xdr:colOff>
      <xdr:row>95</xdr:row>
      <xdr:rowOff>134471</xdr:rowOff>
    </xdr:from>
    <xdr:to>
      <xdr:col>4</xdr:col>
      <xdr:colOff>422089</xdr:colOff>
      <xdr:row>97</xdr:row>
      <xdr:rowOff>171824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2D6CB250-B1FC-415E-B11E-489D4BFA4427}"/>
            </a:ext>
          </a:extLst>
        </xdr:cNvPr>
        <xdr:cNvCxnSpPr>
          <a:stCxn id="43" idx="0"/>
          <a:endCxn id="42" idx="2"/>
        </xdr:cNvCxnSpPr>
      </xdr:nvCxnSpPr>
      <xdr:spPr>
        <a:xfrm rot="5400000" flipH="1" flipV="1">
          <a:off x="2431677" y="17847235"/>
          <a:ext cx="410882" cy="470648"/>
        </a:xfrm>
        <a:prstGeom prst="bentConnector3">
          <a:avLst>
            <a:gd name="adj1" fmla="val 50000"/>
          </a:avLst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0</xdr:colOff>
      <xdr:row>110</xdr:row>
      <xdr:rowOff>0</xdr:rowOff>
    </xdr:from>
    <xdr:to>
      <xdr:col>13</xdr:col>
      <xdr:colOff>421341</xdr:colOff>
      <xdr:row>128</xdr:row>
      <xdr:rowOff>104589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E9ECFADB-975D-4198-99F9-48709D2F79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3321"/>
        <a:stretch/>
      </xdr:blipFill>
      <xdr:spPr>
        <a:xfrm>
          <a:off x="612588" y="20544118"/>
          <a:ext cx="7772400" cy="3466353"/>
        </a:xfrm>
        <a:prstGeom prst="rect">
          <a:avLst/>
        </a:prstGeom>
      </xdr:spPr>
    </xdr:pic>
    <xdr:clientData/>
  </xdr:twoCellAnchor>
  <xdr:twoCellAnchor>
    <xdr:from>
      <xdr:col>6</xdr:col>
      <xdr:colOff>224118</xdr:colOff>
      <xdr:row>121</xdr:row>
      <xdr:rowOff>89648</xdr:rowOff>
    </xdr:from>
    <xdr:to>
      <xdr:col>13</xdr:col>
      <xdr:colOff>52293</xdr:colOff>
      <xdr:row>126</xdr:row>
      <xdr:rowOff>134471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F5A830FB-DB71-4DAE-9980-386511B5C25F}"/>
            </a:ext>
          </a:extLst>
        </xdr:cNvPr>
        <xdr:cNvSpPr/>
      </xdr:nvSpPr>
      <xdr:spPr>
        <a:xfrm>
          <a:off x="3899647" y="22688177"/>
          <a:ext cx="4116293" cy="978647"/>
        </a:xfrm>
        <a:prstGeom prst="rect">
          <a:avLst/>
        </a:prstGeom>
        <a:noFill/>
        <a:ln w="28575">
          <a:solidFill>
            <a:schemeClr val="accent2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d-ID" sz="1100"/>
        </a:p>
      </xdr:txBody>
    </xdr:sp>
    <xdr:clientData/>
  </xdr:twoCellAnchor>
  <xdr:twoCellAnchor>
    <xdr:from>
      <xdr:col>6</xdr:col>
      <xdr:colOff>463175</xdr:colOff>
      <xdr:row>127</xdr:row>
      <xdr:rowOff>134470</xdr:rowOff>
    </xdr:from>
    <xdr:to>
      <xdr:col>9</xdr:col>
      <xdr:colOff>126999</xdr:colOff>
      <xdr:row>131</xdr:row>
      <xdr:rowOff>179294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0BBE0F66-1AFA-40B4-A7C9-54CA43A35AAC}"/>
            </a:ext>
          </a:extLst>
        </xdr:cNvPr>
        <xdr:cNvSpPr txBox="1"/>
      </xdr:nvSpPr>
      <xdr:spPr>
        <a:xfrm>
          <a:off x="4138704" y="23853588"/>
          <a:ext cx="1501589" cy="791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d-ID" sz="1000"/>
            <a:t>Laporan Unpack</a:t>
          </a:r>
          <a:r>
            <a:rPr lang="id-ID" sz="1000" baseline="0"/>
            <a:t> terkait detil isi dari pack, seperti material dalam 1 pack dan jumlah roll</a:t>
          </a:r>
          <a:endParaRPr lang="id-ID" sz="1000"/>
        </a:p>
      </xdr:txBody>
    </xdr:sp>
    <xdr:clientData/>
  </xdr:twoCellAnchor>
  <xdr:twoCellAnchor>
    <xdr:from>
      <xdr:col>9</xdr:col>
      <xdr:colOff>126999</xdr:colOff>
      <xdr:row>126</xdr:row>
      <xdr:rowOff>134471</xdr:rowOff>
    </xdr:from>
    <xdr:to>
      <xdr:col>9</xdr:col>
      <xdr:colOff>444500</xdr:colOff>
      <xdr:row>129</xdr:row>
      <xdr:rowOff>156882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F8FBCECF-D5A6-4B48-BDA2-05D1555174AA}"/>
            </a:ext>
          </a:extLst>
        </xdr:cNvPr>
        <xdr:cNvCxnSpPr>
          <a:stCxn id="52" idx="3"/>
          <a:endCxn id="51" idx="2"/>
        </xdr:cNvCxnSpPr>
      </xdr:nvCxnSpPr>
      <xdr:spPr>
        <a:xfrm flipV="1">
          <a:off x="5640293" y="23666824"/>
          <a:ext cx="317501" cy="582705"/>
        </a:xfrm>
        <a:prstGeom prst="bentConnector2">
          <a:avLst/>
        </a:prstGeom>
        <a:ln w="19050"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18</xdr:row>
      <xdr:rowOff>444500</xdr:rowOff>
    </xdr:from>
    <xdr:to>
      <xdr:col>10</xdr:col>
      <xdr:colOff>232833</xdr:colOff>
      <xdr:row>23</xdr:row>
      <xdr:rowOff>35277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BE9DAAE-1B5B-4116-B42E-3C9D9392F1DE}"/>
            </a:ext>
          </a:extLst>
        </xdr:cNvPr>
        <xdr:cNvCxnSpPr/>
      </xdr:nvCxnSpPr>
      <xdr:spPr>
        <a:xfrm flipH="1">
          <a:off x="11449050" y="3905250"/>
          <a:ext cx="2664883" cy="102587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762000</xdr:colOff>
      <xdr:row>18</xdr:row>
      <xdr:rowOff>444500</xdr:rowOff>
    </xdr:from>
    <xdr:to>
      <xdr:col>10</xdr:col>
      <xdr:colOff>232833</xdr:colOff>
      <xdr:row>24</xdr:row>
      <xdr:rowOff>35277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505A21F4-E90D-4D0B-965C-E509D2C92BB0}"/>
            </a:ext>
          </a:extLst>
        </xdr:cNvPr>
        <xdr:cNvCxnSpPr/>
      </xdr:nvCxnSpPr>
      <xdr:spPr>
        <a:xfrm flipH="1">
          <a:off x="11449050" y="3905250"/>
          <a:ext cx="2664883" cy="1025877"/>
        </a:xfrm>
        <a:prstGeom prst="straightConnector1">
          <a:avLst/>
        </a:prstGeom>
        <a:ln w="19050"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495B-EBF0-4204-BA27-353A16AC6738}">
  <dimension ref="A1:B110"/>
  <sheetViews>
    <sheetView tabSelected="1" zoomScale="85" zoomScaleNormal="85" workbookViewId="0">
      <selection activeCell="O2" sqref="O2"/>
    </sheetView>
  </sheetViews>
  <sheetFormatPr defaultRowHeight="14.5" x14ac:dyDescent="0.35"/>
  <cols>
    <col min="1" max="16384" width="8.7265625" style="1"/>
  </cols>
  <sheetData>
    <row r="1" spans="1:2" x14ac:dyDescent="0.35">
      <c r="A1" s="69" t="s">
        <v>129</v>
      </c>
    </row>
    <row r="3" spans="1:2" x14ac:dyDescent="0.35">
      <c r="A3" s="69">
        <v>1</v>
      </c>
      <c r="B3" s="1" t="s">
        <v>130</v>
      </c>
    </row>
    <row r="27" spans="1:2" x14ac:dyDescent="0.35">
      <c r="A27" s="69">
        <v>2</v>
      </c>
      <c r="B27" s="1" t="s">
        <v>131</v>
      </c>
    </row>
    <row r="49" spans="1:2" x14ac:dyDescent="0.35">
      <c r="A49" s="69">
        <v>3</v>
      </c>
      <c r="B49" s="1" t="s">
        <v>132</v>
      </c>
    </row>
    <row r="79" spans="1:2" x14ac:dyDescent="0.35">
      <c r="A79" s="69">
        <v>4</v>
      </c>
      <c r="B79" s="1" t="s">
        <v>133</v>
      </c>
    </row>
    <row r="110" spans="1:2" x14ac:dyDescent="0.35">
      <c r="A110" s="69">
        <v>5</v>
      </c>
      <c r="B110" s="1" t="s">
        <v>121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DEE85-9F30-4A37-B659-BFEB82A0F529}">
  <sheetPr>
    <tabColor theme="9" tint="0.79998168889431442"/>
  </sheetPr>
  <dimension ref="A1:Y154"/>
  <sheetViews>
    <sheetView zoomScaleNormal="100" workbookViewId="0">
      <selection activeCell="B5" sqref="B5"/>
    </sheetView>
  </sheetViews>
  <sheetFormatPr defaultRowHeight="14.5" x14ac:dyDescent="0.35"/>
  <cols>
    <col min="1" max="1" width="13.6328125" style="1" customWidth="1"/>
    <col min="2" max="2" width="18.54296875" style="1" customWidth="1"/>
    <col min="3" max="3" width="25.81640625" style="1" customWidth="1"/>
    <col min="4" max="4" width="17.90625" style="1" bestFit="1" customWidth="1"/>
    <col min="5" max="5" width="18.81640625" style="1" customWidth="1"/>
    <col min="6" max="6" width="23.54296875" style="1" customWidth="1"/>
    <col min="7" max="7" width="38.36328125" style="1" customWidth="1"/>
    <col min="8" max="8" width="16.453125" style="1" customWidth="1"/>
    <col min="9" max="9" width="16.1796875" style="1" bestFit="1" customWidth="1"/>
    <col min="10" max="10" width="15.36328125" style="1" customWidth="1"/>
    <col min="11" max="11" width="13.54296875" style="1" customWidth="1"/>
    <col min="12" max="12" width="14.1796875" style="1" customWidth="1"/>
    <col min="13" max="13" width="17.1796875" style="1" customWidth="1"/>
    <col min="14" max="14" width="15.36328125" style="1" customWidth="1"/>
    <col min="15" max="15" width="14.08984375" style="1" customWidth="1"/>
    <col min="16" max="16" width="14.6328125" style="1" bestFit="1" customWidth="1"/>
    <col min="17" max="17" width="11.81640625" style="1" bestFit="1" customWidth="1"/>
    <col min="18" max="18" width="14.90625" style="1" customWidth="1"/>
    <col min="19" max="19" width="15.453125" style="1" customWidth="1"/>
    <col min="20" max="20" width="12" style="1" customWidth="1"/>
    <col min="21" max="21" width="12.7265625" style="1" customWidth="1"/>
    <col min="22" max="22" width="13" style="1" customWidth="1"/>
    <col min="23" max="23" width="14.36328125" style="1" customWidth="1"/>
    <col min="24" max="24" width="15.1796875" style="1" customWidth="1"/>
    <col min="25" max="25" width="14.453125" style="1" customWidth="1"/>
    <col min="26" max="27" width="11.08984375" style="1" customWidth="1"/>
    <col min="28" max="16384" width="8.7265625" style="1"/>
  </cols>
  <sheetData>
    <row r="1" spans="1:12" x14ac:dyDescent="0.35">
      <c r="A1" s="69" t="s">
        <v>306</v>
      </c>
    </row>
    <row r="3" spans="1:12" x14ac:dyDescent="0.35">
      <c r="A3" s="248" t="s">
        <v>274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5" spans="1:12" x14ac:dyDescent="0.35">
      <c r="A5" s="69" t="s">
        <v>359</v>
      </c>
      <c r="B5" s="78"/>
      <c r="C5" s="77"/>
      <c r="D5" s="77"/>
      <c r="E5" s="77"/>
    </row>
    <row r="6" spans="1:12" x14ac:dyDescent="0.35">
      <c r="B6" s="78"/>
      <c r="C6" s="77"/>
      <c r="D6" s="77"/>
      <c r="E6" s="249" t="s">
        <v>140</v>
      </c>
      <c r="F6" s="249"/>
      <c r="G6" s="319" t="s">
        <v>145</v>
      </c>
      <c r="H6" s="319"/>
    </row>
    <row r="7" spans="1:12" ht="26" x14ac:dyDescent="0.35">
      <c r="B7" s="10" t="s">
        <v>65</v>
      </c>
      <c r="C7" s="10" t="s">
        <v>119</v>
      </c>
      <c r="D7" s="10" t="s">
        <v>117</v>
      </c>
      <c r="E7" s="10" t="s">
        <v>118</v>
      </c>
      <c r="F7" s="10" t="s">
        <v>122</v>
      </c>
      <c r="G7" s="320" t="s">
        <v>118</v>
      </c>
      <c r="H7" s="320" t="s">
        <v>122</v>
      </c>
    </row>
    <row r="8" spans="1:12" ht="52" x14ac:dyDescent="0.35">
      <c r="B8" s="318" t="s">
        <v>352</v>
      </c>
      <c r="C8" s="318" t="s">
        <v>353</v>
      </c>
      <c r="D8" s="318" t="s">
        <v>354</v>
      </c>
      <c r="E8" s="318" t="s">
        <v>355</v>
      </c>
      <c r="F8" s="318" t="s">
        <v>356</v>
      </c>
      <c r="G8" s="318" t="s">
        <v>358</v>
      </c>
      <c r="H8" s="318" t="s">
        <v>357</v>
      </c>
    </row>
    <row r="9" spans="1:12" ht="26" x14ac:dyDescent="0.35">
      <c r="B9" s="318"/>
      <c r="C9" s="318" t="s">
        <v>353</v>
      </c>
      <c r="D9" s="318" t="s">
        <v>354</v>
      </c>
      <c r="E9" s="318"/>
      <c r="F9" s="318"/>
      <c r="G9" s="318"/>
      <c r="H9" s="318"/>
    </row>
    <row r="11" spans="1:12" x14ac:dyDescent="0.35">
      <c r="A11" s="69" t="s">
        <v>360</v>
      </c>
    </row>
    <row r="12" spans="1:12" x14ac:dyDescent="0.35">
      <c r="B12" s="78"/>
      <c r="C12" s="77"/>
      <c r="D12" s="77"/>
      <c r="E12" s="249" t="s">
        <v>140</v>
      </c>
      <c r="F12" s="249"/>
      <c r="G12" s="250" t="s">
        <v>145</v>
      </c>
      <c r="H12" s="250"/>
    </row>
    <row r="13" spans="1:12" ht="26" x14ac:dyDescent="0.35">
      <c r="B13" s="10" t="s">
        <v>65</v>
      </c>
      <c r="C13" s="10" t="s">
        <v>119</v>
      </c>
      <c r="D13" s="10" t="s">
        <v>117</v>
      </c>
      <c r="E13" s="10" t="s">
        <v>118</v>
      </c>
      <c r="F13" s="10" t="s">
        <v>122</v>
      </c>
      <c r="G13" s="103" t="s">
        <v>118</v>
      </c>
      <c r="H13" s="103" t="s">
        <v>122</v>
      </c>
    </row>
    <row r="14" spans="1:12" ht="52" x14ac:dyDescent="0.35">
      <c r="B14" s="318" t="s">
        <v>352</v>
      </c>
      <c r="C14" s="318" t="s">
        <v>353</v>
      </c>
      <c r="D14" s="318" t="s">
        <v>354</v>
      </c>
      <c r="E14" s="318" t="s">
        <v>355</v>
      </c>
      <c r="F14" s="318" t="s">
        <v>356</v>
      </c>
      <c r="G14" s="318" t="s">
        <v>358</v>
      </c>
      <c r="H14" s="318" t="s">
        <v>357</v>
      </c>
    </row>
    <row r="15" spans="1:12" x14ac:dyDescent="0.35">
      <c r="B15" s="75"/>
      <c r="C15" s="71"/>
      <c r="D15" s="83"/>
      <c r="E15" s="168"/>
      <c r="F15" s="167"/>
      <c r="G15" s="104"/>
      <c r="H15" s="104"/>
    </row>
    <row r="17" spans="1:12" x14ac:dyDescent="0.35">
      <c r="A17" s="69" t="s">
        <v>361</v>
      </c>
    </row>
    <row r="18" spans="1:12" x14ac:dyDescent="0.35">
      <c r="B18" s="78"/>
      <c r="C18" s="77"/>
      <c r="D18" s="77"/>
      <c r="E18" s="249" t="s">
        <v>140</v>
      </c>
      <c r="F18" s="249"/>
      <c r="G18" s="250" t="s">
        <v>145</v>
      </c>
      <c r="H18" s="250"/>
    </row>
    <row r="19" spans="1:12" ht="26" x14ac:dyDescent="0.35">
      <c r="B19" s="10" t="s">
        <v>65</v>
      </c>
      <c r="C19" s="10" t="s">
        <v>119</v>
      </c>
      <c r="D19" s="10" t="s">
        <v>117</v>
      </c>
      <c r="E19" s="10" t="s">
        <v>118</v>
      </c>
      <c r="F19" s="10" t="s">
        <v>122</v>
      </c>
      <c r="G19" s="103" t="s">
        <v>118</v>
      </c>
      <c r="H19" s="103" t="s">
        <v>122</v>
      </c>
    </row>
    <row r="20" spans="1:12" ht="52" x14ac:dyDescent="0.35">
      <c r="B20" s="318" t="s">
        <v>352</v>
      </c>
      <c r="C20" s="318" t="s">
        <v>353</v>
      </c>
      <c r="D20" s="318" t="s">
        <v>354</v>
      </c>
      <c r="E20" s="318" t="s">
        <v>355</v>
      </c>
      <c r="F20" s="318" t="s">
        <v>356</v>
      </c>
      <c r="G20" s="318" t="s">
        <v>358</v>
      </c>
      <c r="H20" s="318" t="s">
        <v>357</v>
      </c>
    </row>
    <row r="21" spans="1:12" x14ac:dyDescent="0.35">
      <c r="B21" s="75"/>
      <c r="C21" s="71"/>
      <c r="D21" s="83"/>
      <c r="E21" s="168"/>
      <c r="F21" s="167"/>
      <c r="G21" s="104"/>
      <c r="H21" s="104"/>
    </row>
    <row r="23" spans="1:12" x14ac:dyDescent="0.35">
      <c r="A23" s="251" t="s">
        <v>137</v>
      </c>
      <c r="B23" s="251"/>
      <c r="C23" s="251"/>
      <c r="D23" s="251"/>
      <c r="E23" s="251"/>
      <c r="F23" s="251"/>
      <c r="G23" s="251"/>
      <c r="H23" s="251"/>
      <c r="I23" s="251"/>
      <c r="J23" s="251"/>
      <c r="K23" s="251"/>
      <c r="L23" s="251"/>
    </row>
    <row r="25" spans="1:12" s="3" customFormat="1" x14ac:dyDescent="0.35">
      <c r="B25" s="7" t="s">
        <v>0</v>
      </c>
      <c r="C25" s="98" t="s">
        <v>275</v>
      </c>
      <c r="D25" s="4"/>
      <c r="E25" s="4"/>
      <c r="F25" s="4"/>
      <c r="G25" s="5"/>
      <c r="H25" s="4"/>
      <c r="I25" s="6"/>
    </row>
    <row r="26" spans="1:12" s="3" customFormat="1" ht="15" customHeight="1" x14ac:dyDescent="0.35">
      <c r="A26" s="2"/>
      <c r="B26" s="4"/>
      <c r="C26" s="4"/>
      <c r="D26" s="4"/>
      <c r="E26" s="4"/>
      <c r="F26" s="4"/>
      <c r="G26" s="5"/>
      <c r="H26" s="4"/>
      <c r="I26" s="6"/>
    </row>
    <row r="27" spans="1:12" s="3" customFormat="1" ht="59" customHeight="1" x14ac:dyDescent="0.35">
      <c r="A27" s="2"/>
      <c r="B27" s="8" t="s">
        <v>1</v>
      </c>
      <c r="C27" s="8" t="s">
        <v>2</v>
      </c>
      <c r="D27" s="8" t="s">
        <v>3</v>
      </c>
      <c r="E27" s="8" t="s">
        <v>4</v>
      </c>
      <c r="F27" s="8" t="s">
        <v>5</v>
      </c>
      <c r="G27" s="9" t="s">
        <v>6</v>
      </c>
      <c r="H27" s="4"/>
      <c r="I27" s="6"/>
    </row>
    <row r="28" spans="1:12" s="3" customFormat="1" ht="15" customHeight="1" x14ac:dyDescent="0.35">
      <c r="A28" s="2"/>
      <c r="B28" s="321" t="s">
        <v>276</v>
      </c>
      <c r="C28" s="322" t="s">
        <v>277</v>
      </c>
      <c r="D28" s="322" t="s">
        <v>278</v>
      </c>
      <c r="E28" s="322" t="s">
        <v>279</v>
      </c>
      <c r="F28" s="323" t="s">
        <v>280</v>
      </c>
      <c r="G28" s="323" t="s">
        <v>280</v>
      </c>
      <c r="H28" s="6"/>
      <c r="I28" s="6"/>
    </row>
    <row r="29" spans="1:12" s="3" customFormat="1" x14ac:dyDescent="0.35">
      <c r="A29" s="2"/>
      <c r="C29" s="4"/>
      <c r="D29" s="4"/>
      <c r="E29" s="4"/>
      <c r="F29" s="4"/>
      <c r="G29" s="5"/>
      <c r="H29" s="4"/>
      <c r="I29" s="6"/>
    </row>
    <row r="30" spans="1:12" s="3" customFormat="1" x14ac:dyDescent="0.35">
      <c r="A30" s="12">
        <v>1</v>
      </c>
      <c r="B30" s="2" t="s">
        <v>362</v>
      </c>
      <c r="C30" s="4"/>
      <c r="D30" s="4"/>
      <c r="E30" s="4"/>
      <c r="F30" s="4"/>
      <c r="G30" s="5"/>
      <c r="H30" s="4"/>
      <c r="I30" s="6"/>
    </row>
    <row r="31" spans="1:12" s="3" customFormat="1" x14ac:dyDescent="0.35">
      <c r="A31" s="2"/>
      <c r="C31" s="4"/>
    </row>
    <row r="32" spans="1:12" s="3" customFormat="1" ht="15" customHeight="1" x14ac:dyDescent="0.35">
      <c r="A32" s="2"/>
      <c r="D32" s="252" t="s">
        <v>7</v>
      </c>
      <c r="E32" s="253"/>
      <c r="F32" s="254"/>
      <c r="H32" s="255" t="s">
        <v>121</v>
      </c>
      <c r="I32" s="256"/>
      <c r="K32" s="1"/>
    </row>
    <row r="33" spans="1:12" s="3" customFormat="1" ht="14.5" customHeight="1" x14ac:dyDescent="0.35">
      <c r="A33" s="2"/>
      <c r="B33" s="8" t="s">
        <v>260</v>
      </c>
      <c r="C33" s="8" t="s">
        <v>261</v>
      </c>
      <c r="D33" s="10" t="s">
        <v>149</v>
      </c>
      <c r="E33" s="10" t="s">
        <v>150</v>
      </c>
      <c r="F33" s="8" t="s">
        <v>8</v>
      </c>
      <c r="H33" s="8" t="s">
        <v>11</v>
      </c>
      <c r="I33" s="8" t="s">
        <v>12</v>
      </c>
    </row>
    <row r="34" spans="1:12" s="3" customFormat="1" ht="39" x14ac:dyDescent="0.35">
      <c r="A34" s="90" t="s">
        <v>281</v>
      </c>
      <c r="B34" s="87" t="s">
        <v>363</v>
      </c>
      <c r="C34" s="324" t="s">
        <v>284</v>
      </c>
      <c r="D34" s="325" t="s">
        <v>367</v>
      </c>
      <c r="E34" s="325" t="s">
        <v>367</v>
      </c>
      <c r="F34" s="325" t="s">
        <v>367</v>
      </c>
      <c r="H34" s="33" t="s">
        <v>285</v>
      </c>
      <c r="I34" s="33" t="s">
        <v>285</v>
      </c>
    </row>
    <row r="35" spans="1:12" s="3" customFormat="1" ht="29" x14ac:dyDescent="0.35">
      <c r="A35" s="90" t="s">
        <v>282</v>
      </c>
      <c r="B35" s="87" t="s">
        <v>364</v>
      </c>
      <c r="C35" s="324" t="s">
        <v>284</v>
      </c>
      <c r="D35" s="325" t="s">
        <v>366</v>
      </c>
      <c r="E35" s="325" t="s">
        <v>366</v>
      </c>
      <c r="F35" s="325" t="s">
        <v>366</v>
      </c>
      <c r="G35" s="1"/>
      <c r="H35" s="1"/>
      <c r="I35" s="1"/>
      <c r="J35" s="1"/>
      <c r="K35" s="1"/>
    </row>
    <row r="36" spans="1:12" s="3" customFormat="1" ht="39" x14ac:dyDescent="0.35">
      <c r="A36" s="90" t="s">
        <v>283</v>
      </c>
      <c r="B36" s="87" t="s">
        <v>365</v>
      </c>
      <c r="C36" s="324" t="s">
        <v>284</v>
      </c>
      <c r="D36" s="325" t="s">
        <v>368</v>
      </c>
      <c r="E36" s="325" t="s">
        <v>368</v>
      </c>
      <c r="F36" s="325" t="s">
        <v>368</v>
      </c>
      <c r="G36" s="1"/>
      <c r="H36" s="1"/>
      <c r="I36" s="1"/>
      <c r="J36" s="1"/>
      <c r="K36" s="1"/>
    </row>
    <row r="37" spans="1:12" s="3" customForma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9" spans="1:12" s="3" customFormat="1" x14ac:dyDescent="0.35">
      <c r="A39" s="12">
        <v>2</v>
      </c>
      <c r="B39" s="2" t="s">
        <v>13</v>
      </c>
      <c r="C39" s="4"/>
      <c r="D39" s="4"/>
      <c r="E39" s="4"/>
      <c r="F39" s="12"/>
      <c r="G39" s="12"/>
      <c r="H39" s="12"/>
      <c r="I39" s="12"/>
      <c r="L39" s="4"/>
    </row>
    <row r="40" spans="1:12" s="3" customFormat="1" x14ac:dyDescent="0.35">
      <c r="A40" s="13"/>
      <c r="B40" s="105" t="s">
        <v>14</v>
      </c>
      <c r="C40" s="16" t="s">
        <v>286</v>
      </c>
      <c r="D40" s="118" t="s">
        <v>287</v>
      </c>
      <c r="E40" s="4"/>
      <c r="F40" s="17"/>
      <c r="G40" s="17"/>
      <c r="H40" s="17"/>
      <c r="I40" s="17"/>
      <c r="J40" s="17"/>
      <c r="K40" s="17"/>
      <c r="L40" s="17"/>
    </row>
    <row r="41" spans="1:12" s="3" customFormat="1" ht="26" x14ac:dyDescent="0.35">
      <c r="A41" s="13"/>
      <c r="B41" s="105" t="s">
        <v>16</v>
      </c>
      <c r="C41" s="326" t="s">
        <v>370</v>
      </c>
      <c r="D41" s="118" t="s">
        <v>225</v>
      </c>
      <c r="E41" s="18" t="s">
        <v>369</v>
      </c>
      <c r="F41" s="17"/>
      <c r="G41" s="17"/>
      <c r="H41" s="17"/>
      <c r="I41" s="17"/>
      <c r="J41" s="17"/>
      <c r="K41" s="17"/>
      <c r="L41" s="17"/>
    </row>
    <row r="42" spans="1:12" s="3" customFormat="1" x14ac:dyDescent="0.35">
      <c r="A42" s="13"/>
      <c r="B42" s="105"/>
      <c r="C42" s="18"/>
      <c r="D42" s="18"/>
      <c r="E42" s="18"/>
      <c r="F42" s="17"/>
      <c r="G42" s="17"/>
      <c r="H42" s="17"/>
      <c r="I42" s="17"/>
      <c r="J42" s="17"/>
      <c r="K42" s="17"/>
      <c r="L42" s="17"/>
    </row>
    <row r="43" spans="1:12" s="3" customFormat="1" x14ac:dyDescent="0.35">
      <c r="A43" s="13"/>
      <c r="B43" s="1"/>
      <c r="C43" s="120" t="s">
        <v>21</v>
      </c>
      <c r="D43" s="120" t="s">
        <v>22</v>
      </c>
      <c r="E43" s="1"/>
      <c r="F43" s="1"/>
      <c r="G43" s="121"/>
      <c r="H43" s="1"/>
      <c r="I43" s="17"/>
      <c r="J43" s="17"/>
      <c r="K43" s="17"/>
      <c r="L43" s="17"/>
    </row>
    <row r="44" spans="1:12" s="3" customFormat="1" x14ac:dyDescent="0.35">
      <c r="A44" s="13"/>
      <c r="B44" s="1"/>
      <c r="C44" s="1"/>
      <c r="D44" s="1"/>
      <c r="E44" s="1"/>
      <c r="F44" s="1"/>
      <c r="G44" s="121"/>
      <c r="H44" s="1"/>
      <c r="I44" s="17"/>
      <c r="J44" s="17"/>
      <c r="K44" s="17"/>
      <c r="L44" s="17"/>
    </row>
    <row r="45" spans="1:12" s="3" customFormat="1" x14ac:dyDescent="0.35">
      <c r="A45" s="13"/>
      <c r="B45" s="122" t="s">
        <v>23</v>
      </c>
      <c r="C45" s="123" t="s">
        <v>24</v>
      </c>
      <c r="D45" s="123" t="s">
        <v>25</v>
      </c>
      <c r="E45" s="123" t="s">
        <v>26</v>
      </c>
      <c r="F45" s="123" t="s">
        <v>27</v>
      </c>
      <c r="G45" s="123" t="s">
        <v>28</v>
      </c>
      <c r="I45" s="17"/>
      <c r="J45" s="17"/>
      <c r="K45" s="17"/>
      <c r="L45" s="17"/>
    </row>
    <row r="46" spans="1:12" s="3" customFormat="1" x14ac:dyDescent="0.35">
      <c r="A46" s="13"/>
      <c r="B46" s="1"/>
      <c r="C46" s="94" t="s">
        <v>288</v>
      </c>
      <c r="D46" s="94" t="s">
        <v>289</v>
      </c>
      <c r="E46" s="125" t="s">
        <v>290</v>
      </c>
      <c r="F46" s="126" t="s">
        <v>291</v>
      </c>
      <c r="G46" s="127" t="s">
        <v>293</v>
      </c>
      <c r="H46" s="327" t="s">
        <v>371</v>
      </c>
      <c r="I46" s="17"/>
      <c r="J46" s="17"/>
      <c r="K46" s="17"/>
      <c r="L46" s="17"/>
    </row>
    <row r="47" spans="1:12" s="3" customFormat="1" x14ac:dyDescent="0.35">
      <c r="A47" s="13"/>
      <c r="B47" s="1"/>
      <c r="C47" s="1"/>
      <c r="D47" s="1"/>
      <c r="E47" s="1"/>
      <c r="F47" s="1"/>
      <c r="G47" s="121"/>
      <c r="H47" s="1"/>
      <c r="I47" s="17"/>
      <c r="J47" s="17"/>
      <c r="K47" s="17"/>
      <c r="L47" s="17"/>
    </row>
    <row r="48" spans="1:12" s="3" customFormat="1" x14ac:dyDescent="0.35">
      <c r="A48" s="13"/>
      <c r="B48" s="122" t="s">
        <v>29</v>
      </c>
      <c r="C48" s="123" t="s">
        <v>24</v>
      </c>
      <c r="D48" s="123" t="s">
        <v>25</v>
      </c>
      <c r="E48" s="123" t="s">
        <v>26</v>
      </c>
      <c r="F48" s="123" t="s">
        <v>27</v>
      </c>
      <c r="G48" s="123" t="s">
        <v>28</v>
      </c>
      <c r="H48" s="1"/>
      <c r="I48" s="17"/>
      <c r="J48" s="17"/>
      <c r="K48" s="17"/>
      <c r="L48" s="17"/>
    </row>
    <row r="49" spans="1:12" s="3" customFormat="1" x14ac:dyDescent="0.35">
      <c r="A49" s="13"/>
      <c r="B49" s="1"/>
      <c r="C49" s="94" t="s">
        <v>288</v>
      </c>
      <c r="D49" s="128" t="s">
        <v>292</v>
      </c>
      <c r="E49" s="94" t="s">
        <v>289</v>
      </c>
      <c r="F49" s="126" t="s">
        <v>291</v>
      </c>
      <c r="G49" s="127" t="s">
        <v>293</v>
      </c>
      <c r="H49" s="327" t="s">
        <v>371</v>
      </c>
      <c r="I49" s="17"/>
      <c r="J49" s="17"/>
      <c r="K49" s="17"/>
      <c r="L49" s="17"/>
    </row>
    <row r="50" spans="1:12" s="3" customFormat="1" x14ac:dyDescent="0.35">
      <c r="A50" s="13"/>
      <c r="B50" s="18"/>
      <c r="C50" s="18"/>
      <c r="D50" s="18"/>
      <c r="E50" s="18"/>
      <c r="F50" s="17"/>
      <c r="G50" s="17"/>
      <c r="H50" s="17"/>
      <c r="I50" s="17"/>
      <c r="J50" s="17"/>
      <c r="K50" s="17"/>
      <c r="L50" s="17"/>
    </row>
    <row r="51" spans="1:12" s="3" customFormat="1" x14ac:dyDescent="0.35">
      <c r="A51" s="4"/>
      <c r="H51" s="4"/>
      <c r="I51" s="5"/>
      <c r="J51" s="4"/>
      <c r="K51" s="4"/>
      <c r="L51" s="4"/>
    </row>
    <row r="52" spans="1:12" s="115" customFormat="1" x14ac:dyDescent="0.35">
      <c r="B52" s="129" t="s">
        <v>17</v>
      </c>
      <c r="C52" s="1"/>
      <c r="D52" s="1"/>
      <c r="E52" s="1"/>
      <c r="F52" s="1"/>
      <c r="G52" s="116"/>
      <c r="H52" s="116"/>
      <c r="I52" s="116"/>
      <c r="J52" s="116"/>
      <c r="K52" s="116"/>
      <c r="L52" s="116"/>
    </row>
    <row r="53" spans="1:12" s="115" customFormat="1" x14ac:dyDescent="0.35">
      <c r="B53" s="129" t="s">
        <v>18</v>
      </c>
      <c r="C53" s="117" t="s">
        <v>19</v>
      </c>
      <c r="D53" s="118" t="s">
        <v>15</v>
      </c>
      <c r="E53" s="119" t="s">
        <v>372</v>
      </c>
      <c r="F53" s="1"/>
      <c r="G53" s="116"/>
      <c r="H53" s="116"/>
      <c r="I53" s="116"/>
      <c r="J53" s="116"/>
      <c r="K53" s="116"/>
      <c r="L53" s="116"/>
    </row>
    <row r="54" spans="1:12" s="115" customFormat="1" ht="26" x14ac:dyDescent="0.35">
      <c r="B54" s="105" t="s">
        <v>16</v>
      </c>
      <c r="C54" s="326" t="s">
        <v>370</v>
      </c>
      <c r="D54" s="1"/>
      <c r="E54" s="1"/>
      <c r="F54" s="1"/>
      <c r="G54" s="116"/>
      <c r="H54" s="116"/>
      <c r="I54" s="116"/>
      <c r="J54" s="116"/>
      <c r="K54" s="116"/>
      <c r="L54" s="116"/>
    </row>
    <row r="55" spans="1:12" s="115" customFormat="1" x14ac:dyDescent="0.35">
      <c r="C55" s="1"/>
      <c r="D55" s="1"/>
      <c r="E55" s="1"/>
      <c r="F55" s="1"/>
      <c r="G55" s="116"/>
      <c r="H55" s="116"/>
      <c r="I55" s="116"/>
      <c r="J55" s="116"/>
      <c r="K55" s="116"/>
      <c r="L55" s="116"/>
    </row>
    <row r="56" spans="1:12" s="115" customFormat="1" x14ac:dyDescent="0.35">
      <c r="A56" s="1"/>
      <c r="B56" s="1"/>
      <c r="C56" s="120" t="s">
        <v>21</v>
      </c>
      <c r="D56" s="120" t="s">
        <v>22</v>
      </c>
      <c r="E56" s="1"/>
      <c r="F56" s="1"/>
      <c r="G56" s="121"/>
      <c r="H56" s="1"/>
      <c r="I56" s="121"/>
      <c r="J56" s="1"/>
      <c r="K56" s="1"/>
      <c r="L56" s="1"/>
    </row>
    <row r="57" spans="1:12" s="115" customFormat="1" x14ac:dyDescent="0.35">
      <c r="A57" s="1"/>
      <c r="B57" s="1"/>
      <c r="C57" s="1"/>
      <c r="D57" s="1"/>
      <c r="E57" s="1"/>
      <c r="F57" s="1"/>
      <c r="G57" s="121"/>
      <c r="H57" s="1"/>
      <c r="I57" s="121"/>
      <c r="J57" s="1"/>
      <c r="K57" s="1"/>
      <c r="L57" s="1"/>
    </row>
    <row r="58" spans="1:12" s="115" customFormat="1" x14ac:dyDescent="0.35">
      <c r="A58" s="1"/>
      <c r="B58" s="122" t="s">
        <v>23</v>
      </c>
      <c r="C58" s="123" t="s">
        <v>24</v>
      </c>
      <c r="D58" s="123" t="s">
        <v>25</v>
      </c>
      <c r="E58" s="123" t="s">
        <v>26</v>
      </c>
      <c r="F58" s="123" t="s">
        <v>27</v>
      </c>
      <c r="G58" s="123" t="s">
        <v>28</v>
      </c>
      <c r="H58" s="1"/>
      <c r="I58" s="121"/>
      <c r="J58" s="1"/>
      <c r="K58" s="1"/>
      <c r="L58" s="1"/>
    </row>
    <row r="59" spans="1:12" s="115" customFormat="1" x14ac:dyDescent="0.35">
      <c r="A59" s="1"/>
      <c r="B59" s="1"/>
      <c r="C59" s="94" t="s">
        <v>288</v>
      </c>
      <c r="D59" s="94" t="s">
        <v>289</v>
      </c>
      <c r="E59" s="125" t="s">
        <v>290</v>
      </c>
      <c r="F59" s="126" t="s">
        <v>291</v>
      </c>
      <c r="G59" s="127" t="s">
        <v>293</v>
      </c>
      <c r="H59" s="327" t="s">
        <v>371</v>
      </c>
      <c r="I59" s="121"/>
      <c r="J59" s="1"/>
      <c r="K59" s="1"/>
      <c r="L59" s="1"/>
    </row>
    <row r="60" spans="1:12" s="115" customFormat="1" x14ac:dyDescent="0.35">
      <c r="A60" s="1"/>
      <c r="B60" s="1"/>
      <c r="C60" s="1"/>
      <c r="D60" s="1"/>
      <c r="E60" s="1"/>
      <c r="F60" s="1"/>
      <c r="G60" s="121"/>
      <c r="H60" s="1"/>
      <c r="I60" s="121"/>
      <c r="J60" s="1"/>
      <c r="K60" s="1"/>
      <c r="L60" s="1"/>
    </row>
    <row r="61" spans="1:12" s="115" customFormat="1" x14ac:dyDescent="0.35">
      <c r="A61" s="1"/>
      <c r="B61" s="122" t="s">
        <v>29</v>
      </c>
      <c r="C61" s="123" t="s">
        <v>24</v>
      </c>
      <c r="D61" s="123" t="s">
        <v>25</v>
      </c>
      <c r="E61" s="123" t="s">
        <v>26</v>
      </c>
      <c r="F61" s="123" t="s">
        <v>27</v>
      </c>
      <c r="G61" s="123" t="s">
        <v>28</v>
      </c>
      <c r="H61" s="1"/>
      <c r="I61" s="121"/>
      <c r="J61" s="1"/>
      <c r="K61" s="1"/>
      <c r="L61" s="1"/>
    </row>
    <row r="62" spans="1:12" s="115" customFormat="1" x14ac:dyDescent="0.35">
      <c r="A62" s="1"/>
      <c r="B62" s="1"/>
      <c r="C62" s="94" t="s">
        <v>288</v>
      </c>
      <c r="D62" s="128" t="s">
        <v>292</v>
      </c>
      <c r="E62" s="94" t="s">
        <v>289</v>
      </c>
      <c r="F62" s="126" t="s">
        <v>291</v>
      </c>
      <c r="G62" s="127" t="s">
        <v>293</v>
      </c>
      <c r="H62" s="327" t="s">
        <v>371</v>
      </c>
      <c r="I62" s="121"/>
      <c r="J62" s="1"/>
      <c r="K62" s="1"/>
      <c r="L62" s="1"/>
    </row>
    <row r="63" spans="1:12" s="3" customFormat="1" x14ac:dyDescent="0.35">
      <c r="A63" s="4"/>
      <c r="H63" s="4"/>
      <c r="I63" s="5"/>
      <c r="J63" s="4"/>
      <c r="K63" s="4"/>
      <c r="L63" s="4"/>
    </row>
    <row r="64" spans="1:12" s="3" customFormat="1" x14ac:dyDescent="0.35">
      <c r="A64" s="4"/>
      <c r="H64" s="4"/>
      <c r="I64" s="5"/>
      <c r="J64" s="4"/>
      <c r="K64" s="4"/>
      <c r="L64" s="4"/>
    </row>
    <row r="65" spans="1:12" s="3" customFormat="1" x14ac:dyDescent="0.35">
      <c r="A65" s="12">
        <v>3</v>
      </c>
      <c r="B65" s="2" t="s">
        <v>30</v>
      </c>
      <c r="C65" s="4"/>
      <c r="D65" s="4"/>
      <c r="E65" s="4"/>
      <c r="F65" s="4"/>
      <c r="G65" s="5"/>
      <c r="H65" s="4"/>
      <c r="I65" s="5"/>
      <c r="J65" s="4"/>
      <c r="K65" s="4"/>
      <c r="L65" s="4"/>
    </row>
    <row r="66" spans="1:12" s="3" customFormat="1" x14ac:dyDescent="0.35">
      <c r="A66" s="12"/>
      <c r="B66" s="2" t="s">
        <v>31</v>
      </c>
      <c r="C66" s="4"/>
      <c r="D66" s="4"/>
      <c r="E66" s="4"/>
      <c r="F66" s="4"/>
      <c r="G66" s="5"/>
      <c r="H66" s="4"/>
      <c r="I66" s="5"/>
      <c r="J66" s="4"/>
      <c r="K66" s="4"/>
      <c r="L66" s="4"/>
    </row>
    <row r="67" spans="1:12" s="3" customFormat="1" x14ac:dyDescent="0.35">
      <c r="A67" s="12"/>
      <c r="B67" s="23" t="s">
        <v>32</v>
      </c>
      <c r="C67" s="117" t="s">
        <v>19</v>
      </c>
      <c r="D67" s="4"/>
      <c r="E67" s="4"/>
      <c r="F67" s="4"/>
      <c r="G67" s="5"/>
      <c r="H67" s="4"/>
      <c r="I67" s="5"/>
      <c r="J67" s="4"/>
      <c r="K67" s="4"/>
      <c r="L67" s="4"/>
    </row>
    <row r="68" spans="1:12" s="3" customFormat="1" x14ac:dyDescent="0.35">
      <c r="A68" s="13"/>
      <c r="B68" s="8" t="s">
        <v>33</v>
      </c>
      <c r="C68" s="8" t="s">
        <v>34</v>
      </c>
      <c r="D68" s="8" t="s">
        <v>35</v>
      </c>
      <c r="E68" s="8" t="s">
        <v>36</v>
      </c>
      <c r="F68" s="8" t="s">
        <v>26</v>
      </c>
      <c r="G68" s="8" t="s">
        <v>37</v>
      </c>
      <c r="H68" s="8" t="s">
        <v>38</v>
      </c>
      <c r="I68" s="5"/>
      <c r="J68" s="4"/>
      <c r="K68" s="4"/>
      <c r="L68" s="4"/>
    </row>
    <row r="69" spans="1:12" s="3" customFormat="1" x14ac:dyDescent="0.35">
      <c r="A69" s="13"/>
      <c r="B69" s="12">
        <v>1</v>
      </c>
      <c r="C69" s="328" t="s">
        <v>373</v>
      </c>
      <c r="D69" s="328" t="s">
        <v>288</v>
      </c>
      <c r="E69" s="328" t="s">
        <v>374</v>
      </c>
      <c r="F69" s="169" t="s">
        <v>294</v>
      </c>
      <c r="G69" s="114" t="str">
        <f>$C$67&amp;"-"&amp;"KW 2"&amp;"- 01"</f>
        <v>(Select Master Product)-KW 2- 01</v>
      </c>
      <c r="H69" s="14" t="s">
        <v>375</v>
      </c>
      <c r="I69" s="5"/>
      <c r="J69" s="4"/>
      <c r="K69" s="4"/>
      <c r="L69" s="4"/>
    </row>
    <row r="70" spans="1:12" s="3" customFormat="1" x14ac:dyDescent="0.35">
      <c r="A70" s="13"/>
      <c r="B70" s="12">
        <v>2</v>
      </c>
      <c r="C70" s="14"/>
      <c r="D70" s="14"/>
      <c r="E70" s="14"/>
      <c r="F70" s="24"/>
      <c r="G70" s="114" t="str">
        <f>$C$67&amp;"-"&amp;"KW 2"&amp;"- 02"</f>
        <v>(Select Master Product)-KW 2- 02</v>
      </c>
      <c r="H70" s="14"/>
      <c r="I70" s="5"/>
      <c r="J70" s="4"/>
      <c r="K70" s="4"/>
      <c r="L70" s="4"/>
    </row>
    <row r="71" spans="1:12" s="3" customFormat="1" x14ac:dyDescent="0.35">
      <c r="A71" s="13"/>
      <c r="B71" s="4"/>
      <c r="C71" s="4"/>
      <c r="D71" s="4"/>
      <c r="E71" s="4"/>
      <c r="F71" s="4"/>
      <c r="G71" s="5"/>
      <c r="H71" s="4"/>
      <c r="I71" s="5"/>
      <c r="J71" s="4"/>
      <c r="K71" s="4"/>
      <c r="L71" s="4"/>
    </row>
    <row r="72" spans="1:12" s="3" customFormat="1" x14ac:dyDescent="0.35">
      <c r="A72" s="12"/>
      <c r="B72" s="2" t="s">
        <v>39</v>
      </c>
      <c r="C72" s="4"/>
      <c r="D72" s="4"/>
      <c r="E72" s="4"/>
      <c r="F72" s="4"/>
      <c r="G72" s="5"/>
      <c r="H72" s="4"/>
      <c r="I72" s="5"/>
      <c r="J72" s="4"/>
      <c r="K72" s="4"/>
      <c r="L72" s="4"/>
    </row>
    <row r="73" spans="1:12" s="3" customFormat="1" x14ac:dyDescent="0.35">
      <c r="A73" s="12"/>
      <c r="B73" s="23" t="s">
        <v>32</v>
      </c>
      <c r="C73" s="117" t="s">
        <v>19</v>
      </c>
      <c r="D73" s="4"/>
      <c r="E73" s="4"/>
      <c r="F73" s="4"/>
      <c r="G73" s="5"/>
      <c r="H73" s="4"/>
      <c r="I73" s="5"/>
      <c r="J73" s="4"/>
      <c r="K73" s="4"/>
      <c r="L73" s="4"/>
    </row>
    <row r="74" spans="1:12" s="3" customFormat="1" x14ac:dyDescent="0.35">
      <c r="A74" s="13"/>
      <c r="B74" s="8" t="s">
        <v>33</v>
      </c>
      <c r="C74" s="8" t="s">
        <v>34</v>
      </c>
      <c r="D74" s="8" t="s">
        <v>35</v>
      </c>
      <c r="E74" s="8" t="s">
        <v>36</v>
      </c>
      <c r="F74" s="8" t="s">
        <v>26</v>
      </c>
      <c r="G74" s="8" t="s">
        <v>37</v>
      </c>
      <c r="H74" s="8" t="s">
        <v>38</v>
      </c>
      <c r="J74" s="4"/>
      <c r="K74" s="4"/>
      <c r="L74" s="4"/>
    </row>
    <row r="75" spans="1:12" s="3" customFormat="1" x14ac:dyDescent="0.35">
      <c r="A75" s="13"/>
      <c r="B75" s="12">
        <v>1</v>
      </c>
      <c r="C75" s="328" t="s">
        <v>373</v>
      </c>
      <c r="D75" s="328" t="s">
        <v>288</v>
      </c>
      <c r="E75" s="328" t="s">
        <v>374</v>
      </c>
      <c r="F75" s="169" t="s">
        <v>294</v>
      </c>
      <c r="G75" s="114" t="str">
        <f>$C$67&amp;"-"&amp;"KW 2"&amp;"- 01"</f>
        <v>(Select Master Product)-KW 2- 01</v>
      </c>
      <c r="H75" s="14" t="s">
        <v>375</v>
      </c>
      <c r="I75" s="26" t="s">
        <v>40</v>
      </c>
      <c r="J75" s="4"/>
      <c r="K75" s="4"/>
      <c r="L75" s="4"/>
    </row>
    <row r="76" spans="1:12" s="3" customFormat="1" x14ac:dyDescent="0.35">
      <c r="A76" s="13"/>
      <c r="B76" s="12">
        <v>2</v>
      </c>
      <c r="C76" s="14"/>
      <c r="D76" s="14"/>
      <c r="E76" s="14"/>
      <c r="F76" s="24"/>
      <c r="G76" s="114" t="str">
        <f>$C$67&amp;"-"&amp;"KW 2"&amp;"- 02"</f>
        <v>(Select Master Product)-KW 2- 02</v>
      </c>
      <c r="H76" s="14"/>
      <c r="I76" s="5"/>
      <c r="J76" s="4"/>
      <c r="K76" s="4"/>
      <c r="L76" s="4"/>
    </row>
    <row r="77" spans="1:12" s="3" customFormat="1" x14ac:dyDescent="0.35">
      <c r="A77" s="13"/>
      <c r="B77" s="4"/>
      <c r="C77" s="4"/>
      <c r="D77" s="4"/>
      <c r="E77" s="4"/>
      <c r="F77" s="4"/>
      <c r="G77" s="5"/>
      <c r="H77" s="4"/>
      <c r="I77" s="5"/>
      <c r="J77" s="4"/>
      <c r="K77" s="4"/>
      <c r="L77" s="4"/>
    </row>
    <row r="78" spans="1:12" s="3" customFormat="1" x14ac:dyDescent="0.35">
      <c r="A78" s="12">
        <v>4</v>
      </c>
      <c r="B78" s="2" t="s">
        <v>41</v>
      </c>
      <c r="C78" s="4"/>
      <c r="D78" s="4"/>
      <c r="E78" s="4"/>
      <c r="F78" s="4"/>
      <c r="G78" s="5"/>
      <c r="H78" s="4"/>
      <c r="I78" s="5"/>
      <c r="J78" s="4"/>
      <c r="K78" s="4"/>
      <c r="L78" s="4"/>
    </row>
    <row r="79" spans="1:12" s="3" customFormat="1" ht="26" x14ac:dyDescent="0.35">
      <c r="A79" s="12"/>
      <c r="B79" s="7" t="s">
        <v>233</v>
      </c>
      <c r="C79" s="326" t="s">
        <v>370</v>
      </c>
      <c r="D79" s="4"/>
      <c r="E79" s="4"/>
      <c r="F79" s="4"/>
      <c r="G79" s="5"/>
      <c r="H79" s="4"/>
      <c r="I79" s="5"/>
      <c r="J79" s="4"/>
      <c r="K79" s="4"/>
      <c r="L79" s="4"/>
    </row>
    <row r="80" spans="1:12" s="3" customFormat="1" x14ac:dyDescent="0.35">
      <c r="A80" s="13"/>
      <c r="B80" s="7" t="s">
        <v>235</v>
      </c>
      <c r="C80" s="170" t="s">
        <v>295</v>
      </c>
      <c r="D80" s="27" t="s">
        <v>234</v>
      </c>
      <c r="E80" s="166"/>
      <c r="F80" s="4"/>
      <c r="G80" s="4"/>
      <c r="H80" s="166"/>
      <c r="I80" s="5"/>
      <c r="J80" s="4"/>
      <c r="K80" s="4"/>
      <c r="L80" s="4"/>
    </row>
    <row r="81" spans="1:12" s="3" customFormat="1" x14ac:dyDescent="0.35">
      <c r="A81" s="13"/>
      <c r="B81" s="7"/>
      <c r="C81" s="7"/>
      <c r="D81" s="27"/>
      <c r="E81" s="4"/>
      <c r="F81" s="4"/>
      <c r="G81" s="4"/>
      <c r="H81" s="4"/>
      <c r="I81" s="5"/>
      <c r="J81" s="4"/>
      <c r="K81" s="4"/>
      <c r="L81" s="4"/>
    </row>
    <row r="82" spans="1:12" s="3" customFormat="1" x14ac:dyDescent="0.35">
      <c r="A82" s="13"/>
      <c r="B82" s="4"/>
      <c r="C82" s="4"/>
      <c r="D82" s="4"/>
      <c r="E82" s="4"/>
      <c r="F82" s="4"/>
      <c r="G82" s="5"/>
      <c r="H82" s="4"/>
      <c r="I82" s="5"/>
      <c r="J82" s="4"/>
      <c r="K82" s="4"/>
      <c r="L82" s="4"/>
    </row>
    <row r="83" spans="1:12" s="3" customFormat="1" x14ac:dyDescent="0.35">
      <c r="A83" s="12">
        <v>5</v>
      </c>
      <c r="B83" s="2" t="s">
        <v>42</v>
      </c>
      <c r="C83" s="4"/>
      <c r="D83" s="4"/>
      <c r="E83" s="4"/>
      <c r="F83" s="4"/>
      <c r="G83" s="5"/>
      <c r="H83" s="4"/>
      <c r="I83" s="5"/>
      <c r="J83" s="4"/>
      <c r="K83" s="4"/>
      <c r="L83" s="4"/>
    </row>
    <row r="84" spans="1:12" s="3" customFormat="1" ht="26" x14ac:dyDescent="0.35">
      <c r="A84" s="13"/>
      <c r="B84" s="7" t="s">
        <v>236</v>
      </c>
      <c r="C84" s="326" t="s">
        <v>370</v>
      </c>
      <c r="D84" s="118" t="s">
        <v>225</v>
      </c>
      <c r="E84" s="330" t="s">
        <v>377</v>
      </c>
      <c r="F84" s="4"/>
      <c r="G84" s="5"/>
      <c r="H84" s="4"/>
      <c r="I84" s="5"/>
      <c r="J84" s="4"/>
      <c r="K84" s="4"/>
      <c r="L84" s="4"/>
    </row>
    <row r="85" spans="1:12" s="3" customFormat="1" x14ac:dyDescent="0.35">
      <c r="A85" s="13"/>
      <c r="B85" s="7" t="s">
        <v>238</v>
      </c>
      <c r="C85" s="329" t="s">
        <v>376</v>
      </c>
      <c r="D85" s="27" t="s">
        <v>239</v>
      </c>
      <c r="E85" s="4"/>
      <c r="F85" s="4"/>
      <c r="G85" s="5"/>
      <c r="H85" s="4"/>
      <c r="I85" s="5"/>
      <c r="J85" s="4"/>
      <c r="K85" s="4"/>
      <c r="L85" s="4"/>
    </row>
    <row r="86" spans="1:12" s="3" customFormat="1" x14ac:dyDescent="0.35">
      <c r="A86" s="13"/>
      <c r="B86" s="4"/>
      <c r="C86" s="4"/>
      <c r="D86" s="80"/>
      <c r="E86" s="4"/>
      <c r="F86" s="4"/>
      <c r="G86" s="5"/>
      <c r="H86" s="4"/>
      <c r="I86" s="5"/>
      <c r="J86" s="4"/>
      <c r="K86" s="4"/>
      <c r="L86" s="4"/>
    </row>
    <row r="87" spans="1:12" s="3" customFormat="1" x14ac:dyDescent="0.35">
      <c r="A87" s="13"/>
      <c r="B87" s="4"/>
      <c r="C87" s="4"/>
      <c r="D87" s="80"/>
      <c r="E87" s="4"/>
      <c r="F87" s="4"/>
      <c r="G87" s="5"/>
      <c r="H87" s="4"/>
      <c r="I87" s="5"/>
      <c r="J87" s="4"/>
      <c r="K87" s="4"/>
      <c r="L87" s="4"/>
    </row>
    <row r="88" spans="1:12" s="3" customFormat="1" x14ac:dyDescent="0.35">
      <c r="A88" s="12">
        <v>6</v>
      </c>
      <c r="B88" s="2" t="s">
        <v>161</v>
      </c>
      <c r="C88" s="4"/>
      <c r="D88" s="4"/>
      <c r="E88" s="4"/>
      <c r="F88" s="4"/>
      <c r="G88" s="5"/>
      <c r="H88" s="4"/>
      <c r="I88" s="5"/>
      <c r="J88" s="4"/>
      <c r="K88" s="4"/>
      <c r="L88" s="4"/>
    </row>
    <row r="89" spans="1:12" s="3" customFormat="1" x14ac:dyDescent="0.35">
      <c r="A89" s="13"/>
      <c r="C89" s="8" t="s">
        <v>43</v>
      </c>
      <c r="D89" s="8" t="s">
        <v>52</v>
      </c>
      <c r="E89" s="8" t="s">
        <v>48</v>
      </c>
      <c r="F89" s="4"/>
      <c r="G89" s="5"/>
      <c r="H89" s="4"/>
      <c r="I89" s="5"/>
      <c r="J89" s="4"/>
      <c r="K89" s="4"/>
      <c r="L89" s="4"/>
    </row>
    <row r="90" spans="1:12" s="3" customFormat="1" x14ac:dyDescent="0.35">
      <c r="A90" s="13"/>
      <c r="C90" s="14" t="s">
        <v>288</v>
      </c>
      <c r="D90" s="14" t="s">
        <v>288</v>
      </c>
      <c r="E90" s="14" t="s">
        <v>288</v>
      </c>
      <c r="F90" s="4"/>
      <c r="G90" s="5"/>
      <c r="H90" s="4"/>
      <c r="I90" s="5"/>
      <c r="J90" s="4"/>
      <c r="K90" s="4"/>
      <c r="L90" s="4"/>
    </row>
    <row r="91" spans="1:12" s="3" customFormat="1" x14ac:dyDescent="0.35">
      <c r="A91" s="13"/>
      <c r="B91" s="4"/>
      <c r="C91" s="4"/>
      <c r="D91" s="4"/>
      <c r="E91" s="4"/>
      <c r="F91" s="4"/>
      <c r="G91" s="5"/>
      <c r="H91" s="4"/>
      <c r="I91" s="5"/>
      <c r="J91" s="4"/>
      <c r="K91" s="4"/>
      <c r="L91" s="4"/>
    </row>
    <row r="92" spans="1:12" s="3" customFormat="1" x14ac:dyDescent="0.35">
      <c r="A92" s="12"/>
      <c r="C92" s="257" t="s">
        <v>162</v>
      </c>
      <c r="D92" s="257"/>
      <c r="E92" s="257"/>
      <c r="F92" s="4"/>
      <c r="G92" s="5"/>
      <c r="H92" s="4"/>
      <c r="I92" s="5"/>
      <c r="J92" s="4"/>
      <c r="K92" s="4"/>
      <c r="L92" s="4"/>
    </row>
    <row r="93" spans="1:12" s="3" customFormat="1" x14ac:dyDescent="0.35">
      <c r="A93" s="13"/>
      <c r="B93" s="4"/>
      <c r="C93" s="8" t="s">
        <v>44</v>
      </c>
      <c r="D93" s="8" t="s">
        <v>47</v>
      </c>
      <c r="E93" s="8" t="s">
        <v>38</v>
      </c>
      <c r="F93" s="4"/>
      <c r="G93" s="5"/>
      <c r="H93" s="4"/>
      <c r="I93" s="5"/>
      <c r="J93" s="4"/>
      <c r="K93" s="4"/>
      <c r="L93" s="4"/>
    </row>
    <row r="94" spans="1:12" s="3" customFormat="1" x14ac:dyDescent="0.35">
      <c r="A94" s="13"/>
      <c r="B94" s="7" t="s">
        <v>45</v>
      </c>
      <c r="C94" s="14" t="s">
        <v>288</v>
      </c>
      <c r="D94" s="14" t="s">
        <v>288</v>
      </c>
      <c r="E94" s="14" t="s">
        <v>375</v>
      </c>
      <c r="F94" s="4"/>
      <c r="G94" s="5"/>
      <c r="H94" s="4"/>
      <c r="I94" s="5"/>
      <c r="J94" s="4"/>
      <c r="K94" s="4"/>
      <c r="L94" s="4"/>
    </row>
    <row r="95" spans="1:12" s="3" customFormat="1" x14ac:dyDescent="0.35">
      <c r="A95" s="13"/>
      <c r="B95" s="7" t="s">
        <v>46</v>
      </c>
      <c r="C95" s="14" t="s">
        <v>288</v>
      </c>
      <c r="D95" s="14" t="s">
        <v>288</v>
      </c>
      <c r="E95" s="14" t="s">
        <v>375</v>
      </c>
      <c r="F95" s="4"/>
      <c r="G95" s="5"/>
      <c r="H95" s="4"/>
      <c r="I95" s="5"/>
      <c r="J95" s="4"/>
      <c r="K95" s="4"/>
      <c r="L95" s="4"/>
    </row>
    <row r="96" spans="1:12" s="3" customFormat="1" x14ac:dyDescent="0.35">
      <c r="A96" s="13"/>
      <c r="B96" s="4"/>
      <c r="C96" s="4"/>
      <c r="D96" s="4"/>
      <c r="E96" s="4"/>
      <c r="F96" s="4"/>
      <c r="G96" s="5"/>
      <c r="H96" s="4"/>
      <c r="I96" s="5"/>
      <c r="J96" s="4"/>
      <c r="K96" s="4"/>
      <c r="L96" s="4"/>
    </row>
    <row r="97" spans="1:14" s="3" customFormat="1" x14ac:dyDescent="0.35">
      <c r="A97" s="12"/>
      <c r="B97" s="7" t="s">
        <v>163</v>
      </c>
      <c r="C97" s="113" t="s">
        <v>296</v>
      </c>
      <c r="D97" s="4"/>
      <c r="E97" s="4"/>
      <c r="F97" s="4"/>
      <c r="G97" s="5"/>
      <c r="H97" s="4"/>
      <c r="I97" s="5"/>
      <c r="J97" s="4"/>
      <c r="K97" s="4"/>
      <c r="L97" s="4"/>
    </row>
    <row r="98" spans="1:14" s="3" customFormat="1" x14ac:dyDescent="0.35">
      <c r="A98" s="13"/>
      <c r="E98" s="4"/>
      <c r="F98" s="4"/>
      <c r="G98" s="5"/>
      <c r="H98" s="4"/>
      <c r="I98" s="5"/>
      <c r="J98" s="4"/>
      <c r="K98" s="4"/>
      <c r="L98" s="4"/>
    </row>
    <row r="99" spans="1:14" s="3" customFormat="1" x14ac:dyDescent="0.35">
      <c r="A99" s="13"/>
      <c r="B99" s="4"/>
      <c r="C99" s="4"/>
      <c r="D99" s="4"/>
      <c r="E99" s="4"/>
      <c r="F99" s="4"/>
      <c r="G99" s="5"/>
      <c r="H99" s="4"/>
      <c r="I99" s="5"/>
      <c r="J99" s="4"/>
      <c r="K99" s="4"/>
      <c r="L99" s="4"/>
    </row>
    <row r="100" spans="1:14" s="3" customFormat="1" x14ac:dyDescent="0.35">
      <c r="A100" s="12">
        <v>7</v>
      </c>
      <c r="B100" s="2" t="s">
        <v>123</v>
      </c>
      <c r="C100" s="4"/>
      <c r="D100" s="28"/>
      <c r="E100" s="4"/>
      <c r="F100" s="4"/>
      <c r="G100" s="5"/>
      <c r="H100" s="4"/>
      <c r="I100" s="5"/>
      <c r="J100" s="4"/>
      <c r="K100" s="4"/>
      <c r="L100" s="4"/>
    </row>
    <row r="101" spans="1:14" s="3" customFormat="1" ht="19" x14ac:dyDescent="0.35">
      <c r="A101" s="13"/>
      <c r="B101" s="29" t="s">
        <v>49</v>
      </c>
      <c r="C101" s="29" t="s">
        <v>50</v>
      </c>
      <c r="D101" s="242" t="s">
        <v>164</v>
      </c>
      <c r="E101" s="243"/>
      <c r="F101" s="243"/>
      <c r="G101" s="243"/>
      <c r="H101" s="30" t="s">
        <v>53</v>
      </c>
      <c r="I101" s="30" t="s">
        <v>205</v>
      </c>
      <c r="J101" s="29" t="s">
        <v>54</v>
      </c>
      <c r="K101" s="29" t="s">
        <v>55</v>
      </c>
      <c r="L101" s="29" t="s">
        <v>56</v>
      </c>
      <c r="M101" s="29" t="s">
        <v>57</v>
      </c>
    </row>
    <row r="102" spans="1:14" s="3" customFormat="1" ht="39" x14ac:dyDescent="0.35">
      <c r="A102" s="13"/>
      <c r="B102" s="171" t="s">
        <v>297</v>
      </c>
      <c r="C102" s="171" t="s">
        <v>298</v>
      </c>
      <c r="D102" s="244" t="str">
        <f>C97</f>
        <v>(Total Semua Scrap)</v>
      </c>
      <c r="E102" s="245"/>
      <c r="F102" s="245"/>
      <c r="G102" s="246"/>
      <c r="H102" s="171" t="s">
        <v>300</v>
      </c>
      <c r="I102" s="171" t="s">
        <v>301</v>
      </c>
      <c r="J102" s="176" t="s">
        <v>302</v>
      </c>
      <c r="K102" s="33" t="s">
        <v>303</v>
      </c>
      <c r="L102" s="176" t="s">
        <v>304</v>
      </c>
      <c r="M102" s="177" t="s">
        <v>305</v>
      </c>
      <c r="N102" s="327" t="s">
        <v>371</v>
      </c>
    </row>
    <row r="103" spans="1:14" s="3" customFormat="1" x14ac:dyDescent="0.35">
      <c r="A103" s="13"/>
      <c r="B103" s="4"/>
      <c r="C103" s="4"/>
      <c r="D103" s="4"/>
      <c r="E103" s="4"/>
      <c r="F103" s="4"/>
      <c r="G103" s="5"/>
      <c r="H103" s="5"/>
      <c r="J103" s="4"/>
      <c r="K103" s="4"/>
      <c r="L103" s="4"/>
      <c r="N103" s="86" t="s">
        <v>67</v>
      </c>
    </row>
    <row r="104" spans="1:14" s="3" customFormat="1" x14ac:dyDescent="0.35">
      <c r="A104" s="13"/>
      <c r="B104" s="4"/>
      <c r="C104" s="4"/>
      <c r="D104" s="4"/>
      <c r="E104" s="4"/>
      <c r="F104" s="4"/>
      <c r="G104" s="5"/>
      <c r="H104" s="5"/>
      <c r="I104" s="4"/>
      <c r="J104" s="4"/>
      <c r="K104" s="4"/>
      <c r="M104" s="86"/>
    </row>
    <row r="105" spans="1:14" s="3" customFormat="1" x14ac:dyDescent="0.3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</row>
    <row r="106" spans="1:14" s="3" customFormat="1" x14ac:dyDescent="0.35">
      <c r="A106" s="13"/>
      <c r="B106" s="13"/>
      <c r="C106" s="13"/>
      <c r="D106" s="13"/>
      <c r="E106" s="13"/>
      <c r="F106" s="13"/>
      <c r="G106" s="35" t="s">
        <v>58</v>
      </c>
      <c r="H106" s="36" t="s">
        <v>59</v>
      </c>
      <c r="I106" s="13"/>
      <c r="J106" s="13"/>
      <c r="K106" s="13"/>
      <c r="L106" s="13"/>
      <c r="M106" s="13"/>
    </row>
    <row r="107" spans="1:14" s="3" customFormat="1" x14ac:dyDescent="0.35">
      <c r="A107" s="13"/>
      <c r="B107" s="13"/>
      <c r="C107" s="13"/>
      <c r="D107" s="13"/>
      <c r="E107" s="13"/>
      <c r="F107" s="13"/>
      <c r="G107" s="37" t="s">
        <v>60</v>
      </c>
      <c r="I107" s="13"/>
      <c r="J107" s="13"/>
      <c r="K107" s="13"/>
      <c r="L107" s="13"/>
      <c r="M107" s="13"/>
    </row>
    <row r="108" spans="1:14" s="3" customFormat="1" x14ac:dyDescent="0.35">
      <c r="G108" s="3" t="s">
        <v>61</v>
      </c>
      <c r="I108" s="6"/>
      <c r="K108" s="54"/>
    </row>
    <row r="109" spans="1:14" s="3" customFormat="1" x14ac:dyDescent="0.35">
      <c r="G109" s="3" t="s">
        <v>62</v>
      </c>
      <c r="H109" s="4"/>
      <c r="I109" s="6"/>
    </row>
    <row r="110" spans="1:14" s="3" customFormat="1" x14ac:dyDescent="0.35">
      <c r="I110" s="6"/>
    </row>
    <row r="111" spans="1:14" s="3" customFormat="1" x14ac:dyDescent="0.35">
      <c r="I111" s="6"/>
    </row>
    <row r="112" spans="1:14" x14ac:dyDescent="0.35">
      <c r="A112" s="296" t="s">
        <v>154</v>
      </c>
      <c r="B112" s="296"/>
      <c r="C112" s="296"/>
      <c r="D112" s="296"/>
      <c r="E112" s="296"/>
      <c r="F112" s="296"/>
      <c r="G112" s="296"/>
      <c r="H112" s="296"/>
      <c r="I112" s="296"/>
      <c r="J112" s="296"/>
      <c r="K112" s="296"/>
      <c r="L112" s="296"/>
    </row>
    <row r="113" spans="1:25" x14ac:dyDescent="0.35">
      <c r="L113" s="197"/>
    </row>
    <row r="114" spans="1:25" s="3" customFormat="1" x14ac:dyDescent="0.35">
      <c r="B114" s="4"/>
      <c r="C114" s="4"/>
      <c r="D114" s="4"/>
      <c r="E114" s="4"/>
      <c r="G114" s="257" t="s">
        <v>68</v>
      </c>
      <c r="H114" s="257"/>
      <c r="I114" s="257"/>
      <c r="J114" s="257"/>
      <c r="K114" s="257"/>
      <c r="L114" s="257"/>
      <c r="M114" s="257"/>
      <c r="N114" s="257"/>
      <c r="P114" s="247" t="s">
        <v>311</v>
      </c>
      <c r="Q114" s="247"/>
      <c r="R114" s="247"/>
      <c r="S114" s="247"/>
      <c r="T114" s="247"/>
      <c r="U114" s="247"/>
      <c r="V114" s="247"/>
      <c r="W114" s="247"/>
    </row>
    <row r="115" spans="1:25" s="3" customFormat="1" ht="29" x14ac:dyDescent="0.35">
      <c r="A115" s="8" t="s">
        <v>33</v>
      </c>
      <c r="B115" s="8" t="s">
        <v>70</v>
      </c>
      <c r="C115" s="10" t="s">
        <v>310</v>
      </c>
      <c r="D115" s="8" t="s">
        <v>72</v>
      </c>
      <c r="E115" s="8" t="s">
        <v>34</v>
      </c>
      <c r="F115" s="47" t="s">
        <v>73</v>
      </c>
      <c r="G115" s="8" t="s">
        <v>74</v>
      </c>
      <c r="H115" s="10" t="s">
        <v>157</v>
      </c>
      <c r="I115" s="10" t="s">
        <v>83</v>
      </c>
      <c r="J115" s="10" t="s">
        <v>84</v>
      </c>
      <c r="K115" s="10" t="s">
        <v>85</v>
      </c>
      <c r="L115" s="206" t="s">
        <v>86</v>
      </c>
      <c r="M115" s="48" t="s">
        <v>87</v>
      </c>
      <c r="N115" s="48" t="s">
        <v>80</v>
      </c>
      <c r="O115" s="48" t="s">
        <v>81</v>
      </c>
      <c r="P115" s="48" t="s">
        <v>82</v>
      </c>
      <c r="Q115" s="10" t="s">
        <v>157</v>
      </c>
      <c r="R115" s="10" t="s">
        <v>83</v>
      </c>
      <c r="S115" s="10" t="s">
        <v>84</v>
      </c>
      <c r="T115" s="10" t="s">
        <v>85</v>
      </c>
      <c r="U115" s="48" t="s">
        <v>86</v>
      </c>
      <c r="V115" s="48" t="s">
        <v>87</v>
      </c>
      <c r="W115" s="48" t="s">
        <v>88</v>
      </c>
    </row>
    <row r="116" spans="1:25" s="3" customFormat="1" ht="101.5" x14ac:dyDescent="0.35">
      <c r="A116" s="43">
        <v>1</v>
      </c>
      <c r="B116" s="331" t="s">
        <v>379</v>
      </c>
      <c r="C116" s="332" t="s">
        <v>378</v>
      </c>
      <c r="D116" s="333" t="s">
        <v>380</v>
      </c>
      <c r="E116" s="318" t="s">
        <v>381</v>
      </c>
      <c r="F116" s="334" t="s">
        <v>382</v>
      </c>
      <c r="G116" s="335" t="s">
        <v>383</v>
      </c>
      <c r="H116" s="336" t="s">
        <v>384</v>
      </c>
      <c r="I116" s="336" t="s">
        <v>385</v>
      </c>
      <c r="J116" s="336" t="s">
        <v>386</v>
      </c>
      <c r="K116" s="336" t="s">
        <v>387</v>
      </c>
      <c r="L116" s="336" t="s">
        <v>388</v>
      </c>
      <c r="M116" s="336" t="s">
        <v>389</v>
      </c>
      <c r="N116" s="336" t="s">
        <v>390</v>
      </c>
      <c r="O116" s="337" t="s">
        <v>391</v>
      </c>
      <c r="P116" s="336" t="s">
        <v>392</v>
      </c>
      <c r="Q116" s="336" t="s">
        <v>393</v>
      </c>
      <c r="R116" s="336" t="s">
        <v>394</v>
      </c>
      <c r="S116" s="336" t="s">
        <v>395</v>
      </c>
      <c r="T116" s="336" t="s">
        <v>396</v>
      </c>
      <c r="U116" s="336" t="s">
        <v>397</v>
      </c>
      <c r="V116" s="336" t="s">
        <v>398</v>
      </c>
      <c r="W116" s="336" t="s">
        <v>390</v>
      </c>
      <c r="X116" s="54"/>
    </row>
    <row r="117" spans="1:25" s="3" customFormat="1" ht="39" x14ac:dyDescent="0.35">
      <c r="A117" s="43">
        <v>2</v>
      </c>
      <c r="B117" s="109" t="s">
        <v>379</v>
      </c>
      <c r="C117" s="43"/>
      <c r="D117" s="49"/>
      <c r="E117" s="43"/>
      <c r="F117" s="52"/>
      <c r="G117" s="50"/>
      <c r="H117" s="49"/>
      <c r="I117" s="50"/>
      <c r="J117" s="49"/>
      <c r="K117" s="49"/>
      <c r="L117" s="207"/>
      <c r="M117" s="49"/>
      <c r="N117" s="51"/>
      <c r="O117" s="43"/>
      <c r="P117" s="49"/>
      <c r="Q117" s="49"/>
      <c r="R117" s="49"/>
      <c r="S117" s="49"/>
      <c r="T117" s="49"/>
      <c r="U117" s="49"/>
      <c r="V117" s="49"/>
      <c r="W117" s="51"/>
    </row>
    <row r="118" spans="1:25" s="3" customFormat="1" x14ac:dyDescent="0.35">
      <c r="A118" s="13"/>
      <c r="B118" s="53"/>
      <c r="C118" s="12"/>
      <c r="D118" s="54"/>
      <c r="E118" s="13"/>
      <c r="F118" s="6"/>
      <c r="G118" s="6"/>
      <c r="H118" s="54"/>
      <c r="I118" s="6"/>
      <c r="L118" s="208"/>
      <c r="M118" s="54"/>
      <c r="N118" s="54"/>
      <c r="P118" s="55">
        <f t="shared" ref="P118:V118" si="0">SUM(P116:P117)</f>
        <v>0</v>
      </c>
      <c r="Q118" s="55">
        <f t="shared" si="0"/>
        <v>0</v>
      </c>
      <c r="R118" s="55">
        <f t="shared" si="0"/>
        <v>0</v>
      </c>
      <c r="S118" s="55">
        <f t="shared" si="0"/>
        <v>0</v>
      </c>
      <c r="T118" s="55">
        <f t="shared" si="0"/>
        <v>0</v>
      </c>
      <c r="U118" s="55">
        <f t="shared" si="0"/>
        <v>0</v>
      </c>
      <c r="V118" s="55">
        <f t="shared" si="0"/>
        <v>0</v>
      </c>
    </row>
    <row r="119" spans="1:25" s="3" customFormat="1" x14ac:dyDescent="0.35">
      <c r="A119" s="13"/>
      <c r="B119" s="53"/>
      <c r="C119" s="12"/>
      <c r="D119" s="54"/>
      <c r="E119" s="13"/>
      <c r="F119" s="6"/>
      <c r="G119" s="6"/>
      <c r="H119" s="54"/>
      <c r="I119" s="6"/>
      <c r="J119" s="54"/>
      <c r="K119" s="54"/>
      <c r="L119" s="198"/>
      <c r="N119" s="55"/>
      <c r="O119" s="55"/>
      <c r="P119" s="55"/>
    </row>
    <row r="120" spans="1:25" s="3" customFormat="1" x14ac:dyDescent="0.35">
      <c r="A120" s="45" t="s">
        <v>89</v>
      </c>
      <c r="B120" s="53"/>
      <c r="C120" s="13"/>
      <c r="D120" s="54"/>
      <c r="E120" s="13"/>
      <c r="F120" s="56"/>
      <c r="G120" s="6"/>
      <c r="I120" s="6"/>
      <c r="K120" s="6"/>
      <c r="L120" s="198"/>
    </row>
    <row r="121" spans="1:25" s="3" customFormat="1" x14ac:dyDescent="0.35">
      <c r="A121" s="45" t="s">
        <v>90</v>
      </c>
      <c r="B121" s="53"/>
      <c r="C121" s="13"/>
      <c r="D121" s="54"/>
      <c r="E121" s="13"/>
      <c r="F121" s="6"/>
      <c r="G121" s="297" t="s">
        <v>68</v>
      </c>
      <c r="H121" s="298"/>
      <c r="I121" s="298"/>
      <c r="J121" s="298"/>
      <c r="K121" s="298"/>
      <c r="L121" s="298"/>
      <c r="M121" s="298"/>
      <c r="N121" s="299"/>
      <c r="P121" s="300" t="s">
        <v>170</v>
      </c>
      <c r="Q121" s="301"/>
      <c r="R121" s="301"/>
      <c r="S121" s="301"/>
      <c r="T121" s="301"/>
      <c r="U121" s="301"/>
      <c r="V121" s="301"/>
      <c r="W121" s="302"/>
    </row>
    <row r="122" spans="1:25" s="3" customFormat="1" ht="65" x14ac:dyDescent="0.35">
      <c r="A122" s="8" t="s">
        <v>33</v>
      </c>
      <c r="B122" s="8" t="s">
        <v>70</v>
      </c>
      <c r="C122" s="8" t="s">
        <v>71</v>
      </c>
      <c r="D122" s="8" t="s">
        <v>72</v>
      </c>
      <c r="E122" s="8" t="s">
        <v>34</v>
      </c>
      <c r="F122" s="47" t="s">
        <v>73</v>
      </c>
      <c r="G122" s="8" t="s">
        <v>74</v>
      </c>
      <c r="H122" s="10" t="s">
        <v>159</v>
      </c>
      <c r="I122" s="10" t="s">
        <v>75</v>
      </c>
      <c r="J122" s="10" t="s">
        <v>76</v>
      </c>
      <c r="K122" s="10" t="s">
        <v>77</v>
      </c>
      <c r="L122" s="206" t="s">
        <v>78</v>
      </c>
      <c r="M122" s="48" t="s">
        <v>79</v>
      </c>
      <c r="N122" s="48" t="s">
        <v>80</v>
      </c>
      <c r="O122" s="57" t="s">
        <v>91</v>
      </c>
      <c r="P122" s="48" t="s">
        <v>82</v>
      </c>
      <c r="Q122" s="10" t="s">
        <v>157</v>
      </c>
      <c r="R122" s="10" t="s">
        <v>83</v>
      </c>
      <c r="S122" s="10" t="s">
        <v>92</v>
      </c>
      <c r="T122" s="10" t="s">
        <v>85</v>
      </c>
      <c r="U122" s="48" t="s">
        <v>86</v>
      </c>
      <c r="V122" s="48" t="s">
        <v>87</v>
      </c>
      <c r="W122" s="48" t="s">
        <v>88</v>
      </c>
      <c r="X122" s="48" t="s">
        <v>171</v>
      </c>
      <c r="Y122" s="48" t="s">
        <v>240</v>
      </c>
    </row>
    <row r="123" spans="1:25" s="3" customFormat="1" ht="101.5" x14ac:dyDescent="0.35">
      <c r="A123" s="43">
        <v>1</v>
      </c>
      <c r="B123" s="331" t="s">
        <v>399</v>
      </c>
      <c r="C123" s="332" t="s">
        <v>402</v>
      </c>
      <c r="D123" s="333" t="s">
        <v>403</v>
      </c>
      <c r="E123" s="318" t="s">
        <v>381</v>
      </c>
      <c r="F123" s="334" t="s">
        <v>382</v>
      </c>
      <c r="G123" s="335" t="s">
        <v>383</v>
      </c>
      <c r="H123" s="336" t="s">
        <v>384</v>
      </c>
      <c r="I123" s="336" t="s">
        <v>385</v>
      </c>
      <c r="J123" s="336" t="s">
        <v>386</v>
      </c>
      <c r="K123" s="336" t="s">
        <v>387</v>
      </c>
      <c r="L123" s="336" t="s">
        <v>388</v>
      </c>
      <c r="M123" s="336" t="s">
        <v>389</v>
      </c>
      <c r="N123" s="336" t="s">
        <v>390</v>
      </c>
      <c r="O123" s="337" t="s">
        <v>391</v>
      </c>
      <c r="P123" s="336" t="s">
        <v>392</v>
      </c>
      <c r="Q123" s="336" t="s">
        <v>393</v>
      </c>
      <c r="R123" s="336" t="s">
        <v>394</v>
      </c>
      <c r="S123" s="336" t="s">
        <v>395</v>
      </c>
      <c r="T123" s="336" t="s">
        <v>396</v>
      </c>
      <c r="U123" s="336" t="s">
        <v>397</v>
      </c>
      <c r="V123" s="336" t="s">
        <v>398</v>
      </c>
      <c r="W123" s="336" t="s">
        <v>390</v>
      </c>
      <c r="X123" s="336" t="s">
        <v>400</v>
      </c>
      <c r="Y123" s="336" t="s">
        <v>401</v>
      </c>
    </row>
    <row r="124" spans="1:25" s="3" customFormat="1" x14ac:dyDescent="0.35">
      <c r="A124" s="13"/>
      <c r="B124" s="59"/>
      <c r="C124" s="12"/>
      <c r="D124" s="54"/>
      <c r="E124" s="13"/>
      <c r="F124" s="60"/>
      <c r="G124" s="60"/>
      <c r="H124" s="55"/>
      <c r="I124" s="60"/>
      <c r="J124" s="54"/>
      <c r="K124" s="54"/>
      <c r="L124" s="198"/>
    </row>
    <row r="125" spans="1:25" s="3" customFormat="1" x14ac:dyDescent="0.35">
      <c r="A125" s="13"/>
      <c r="B125" s="59"/>
      <c r="C125" s="12"/>
      <c r="D125" s="54"/>
      <c r="E125" s="13"/>
      <c r="F125" s="60"/>
      <c r="G125" s="60"/>
      <c r="H125" s="55"/>
      <c r="I125" s="60"/>
      <c r="J125" s="54"/>
      <c r="K125" s="54"/>
      <c r="L125" s="198"/>
    </row>
    <row r="126" spans="1:25" s="3" customFormat="1" x14ac:dyDescent="0.35">
      <c r="A126" s="13"/>
      <c r="B126" s="53"/>
      <c r="D126" s="54"/>
      <c r="E126" s="13"/>
      <c r="F126" s="6"/>
      <c r="G126" s="6"/>
      <c r="H126" s="54"/>
      <c r="I126" s="6"/>
      <c r="J126" s="54"/>
      <c r="K126" s="54"/>
      <c r="L126" s="198"/>
    </row>
    <row r="127" spans="1:25" s="3" customFormat="1" x14ac:dyDescent="0.35">
      <c r="A127" s="45" t="s">
        <v>93</v>
      </c>
      <c r="B127" s="53"/>
      <c r="C127" s="13"/>
      <c r="D127" s="54"/>
      <c r="E127" s="13"/>
      <c r="F127" s="6"/>
      <c r="G127" s="297" t="s">
        <v>68</v>
      </c>
      <c r="H127" s="298"/>
      <c r="I127" s="298"/>
      <c r="J127" s="298"/>
      <c r="K127" s="298"/>
      <c r="L127" s="298"/>
      <c r="M127" s="298"/>
      <c r="N127" s="299"/>
      <c r="P127" s="300" t="s">
        <v>170</v>
      </c>
      <c r="Q127" s="301"/>
      <c r="R127" s="301"/>
      <c r="S127" s="301"/>
      <c r="T127" s="301"/>
      <c r="U127" s="301"/>
      <c r="V127" s="301"/>
      <c r="W127" s="302"/>
    </row>
    <row r="128" spans="1:25" s="3" customFormat="1" ht="65" x14ac:dyDescent="0.35">
      <c r="A128" s="8" t="s">
        <v>33</v>
      </c>
      <c r="B128" s="8" t="s">
        <v>70</v>
      </c>
      <c r="C128" s="8" t="s">
        <v>71</v>
      </c>
      <c r="D128" s="8" t="s">
        <v>72</v>
      </c>
      <c r="E128" s="8" t="s">
        <v>34</v>
      </c>
      <c r="F128" s="47" t="s">
        <v>73</v>
      </c>
      <c r="G128" s="8" t="s">
        <v>74</v>
      </c>
      <c r="H128" s="10" t="s">
        <v>159</v>
      </c>
      <c r="I128" s="10" t="s">
        <v>75</v>
      </c>
      <c r="J128" s="10" t="s">
        <v>76</v>
      </c>
      <c r="K128" s="10" t="s">
        <v>77</v>
      </c>
      <c r="L128" s="206" t="s">
        <v>78</v>
      </c>
      <c r="M128" s="48" t="s">
        <v>79</v>
      </c>
      <c r="N128" s="48" t="s">
        <v>80</v>
      </c>
      <c r="O128" s="57" t="s">
        <v>91</v>
      </c>
      <c r="P128" s="48" t="s">
        <v>82</v>
      </c>
      <c r="Q128" s="10" t="s">
        <v>157</v>
      </c>
      <c r="R128" s="10" t="s">
        <v>83</v>
      </c>
      <c r="S128" s="10" t="s">
        <v>92</v>
      </c>
      <c r="T128" s="10" t="s">
        <v>85</v>
      </c>
      <c r="U128" s="48" t="s">
        <v>86</v>
      </c>
      <c r="V128" s="48" t="s">
        <v>87</v>
      </c>
      <c r="W128" s="48" t="s">
        <v>88</v>
      </c>
      <c r="X128" s="48" t="s">
        <v>171</v>
      </c>
      <c r="Y128" s="48" t="s">
        <v>240</v>
      </c>
    </row>
    <row r="129" spans="1:25" s="3" customFormat="1" ht="101.5" x14ac:dyDescent="0.35">
      <c r="A129" s="43">
        <v>1</v>
      </c>
      <c r="B129" s="331" t="s">
        <v>404</v>
      </c>
      <c r="C129" s="332" t="s">
        <v>405</v>
      </c>
      <c r="D129" s="333" t="s">
        <v>406</v>
      </c>
      <c r="E129" s="318" t="s">
        <v>381</v>
      </c>
      <c r="F129" s="334" t="s">
        <v>382</v>
      </c>
      <c r="G129" s="335" t="s">
        <v>383</v>
      </c>
      <c r="H129" s="336" t="s">
        <v>384</v>
      </c>
      <c r="I129" s="336" t="s">
        <v>385</v>
      </c>
      <c r="J129" s="336" t="s">
        <v>386</v>
      </c>
      <c r="K129" s="336" t="s">
        <v>387</v>
      </c>
      <c r="L129" s="336" t="s">
        <v>388</v>
      </c>
      <c r="M129" s="336" t="s">
        <v>389</v>
      </c>
      <c r="N129" s="336" t="s">
        <v>390</v>
      </c>
      <c r="O129" s="337" t="s">
        <v>391</v>
      </c>
      <c r="P129" s="336" t="s">
        <v>392</v>
      </c>
      <c r="Q129" s="336" t="s">
        <v>393</v>
      </c>
      <c r="R129" s="336" t="s">
        <v>394</v>
      </c>
      <c r="S129" s="336" t="s">
        <v>395</v>
      </c>
      <c r="T129" s="336" t="s">
        <v>396</v>
      </c>
      <c r="U129" s="336" t="s">
        <v>397</v>
      </c>
      <c r="V129" s="336" t="s">
        <v>398</v>
      </c>
      <c r="W129" s="336" t="s">
        <v>390</v>
      </c>
      <c r="X129" s="336" t="s">
        <v>400</v>
      </c>
      <c r="Y129" s="336" t="s">
        <v>401</v>
      </c>
    </row>
    <row r="130" spans="1:25" s="3" customFormat="1" x14ac:dyDescent="0.35">
      <c r="A130" s="13"/>
      <c r="B130" s="59"/>
      <c r="C130" s="12"/>
      <c r="D130" s="54"/>
      <c r="E130" s="13"/>
      <c r="F130" s="60"/>
      <c r="G130" s="60"/>
      <c r="H130" s="55"/>
      <c r="I130" s="60"/>
      <c r="J130" s="54"/>
      <c r="K130" s="54"/>
      <c r="L130" s="198"/>
    </row>
    <row r="131" spans="1:25" s="3" customFormat="1" x14ac:dyDescent="0.35">
      <c r="A131" s="13"/>
      <c r="B131" s="53"/>
      <c r="C131" s="13"/>
      <c r="D131" s="54"/>
      <c r="E131" s="13"/>
      <c r="F131" s="6"/>
      <c r="G131" s="6"/>
      <c r="H131" s="54"/>
      <c r="I131" s="6"/>
      <c r="J131" s="54"/>
      <c r="K131" s="54"/>
      <c r="L131" s="198"/>
    </row>
    <row r="132" spans="1:25" s="3" customFormat="1" x14ac:dyDescent="0.35">
      <c r="A132" s="45" t="s">
        <v>161</v>
      </c>
      <c r="B132" s="53"/>
      <c r="C132" s="13"/>
      <c r="D132" s="54"/>
      <c r="E132" s="13"/>
      <c r="F132" s="6"/>
      <c r="G132" s="6"/>
      <c r="H132" s="54"/>
      <c r="I132" s="6"/>
      <c r="J132" s="54"/>
      <c r="K132" s="54"/>
      <c r="L132" s="198"/>
    </row>
    <row r="133" spans="1:25" s="3" customFormat="1" x14ac:dyDescent="0.35">
      <c r="B133" s="18"/>
      <c r="C133" s="18"/>
      <c r="D133" s="18"/>
      <c r="E133" s="18"/>
      <c r="F133" s="18"/>
      <c r="G133" s="18"/>
      <c r="H133" s="18"/>
      <c r="I133" s="5"/>
      <c r="J133" s="4"/>
      <c r="K133" s="4"/>
      <c r="L133" s="199"/>
    </row>
    <row r="134" spans="1:25" s="3" customFormat="1" ht="26" x14ac:dyDescent="0.35">
      <c r="B134" s="8" t="s">
        <v>33</v>
      </c>
      <c r="C134" s="8" t="s">
        <v>94</v>
      </c>
      <c r="D134" s="8" t="s">
        <v>95</v>
      </c>
      <c r="E134" s="61" t="s">
        <v>96</v>
      </c>
      <c r="F134" s="10" t="s">
        <v>321</v>
      </c>
      <c r="G134" s="10" t="s">
        <v>322</v>
      </c>
      <c r="I134" s="6"/>
      <c r="L134" s="198"/>
    </row>
    <row r="135" spans="1:25" s="3" customFormat="1" ht="58" x14ac:dyDescent="0.35">
      <c r="B135" s="43">
        <v>1</v>
      </c>
      <c r="C135" s="46" t="s">
        <v>172</v>
      </c>
      <c r="D135" s="338" t="s">
        <v>407</v>
      </c>
      <c r="E135" s="339" t="s">
        <v>413</v>
      </c>
      <c r="F135" s="340" t="s">
        <v>414</v>
      </c>
      <c r="G135" s="340" t="s">
        <v>415</v>
      </c>
      <c r="H135" s="4"/>
      <c r="I135" s="5"/>
      <c r="J135" s="4"/>
      <c r="K135" s="4"/>
      <c r="L135" s="199"/>
    </row>
    <row r="136" spans="1:25" s="3" customFormat="1" ht="58" x14ac:dyDescent="0.35">
      <c r="B136" s="43">
        <v>2</v>
      </c>
      <c r="C136" s="46" t="s">
        <v>173</v>
      </c>
      <c r="D136" s="338" t="s">
        <v>409</v>
      </c>
      <c r="E136" s="339" t="s">
        <v>413</v>
      </c>
      <c r="F136" s="340" t="s">
        <v>414</v>
      </c>
      <c r="G136" s="340" t="s">
        <v>415</v>
      </c>
      <c r="H136" s="4"/>
      <c r="I136" s="5"/>
      <c r="J136" s="4"/>
      <c r="K136" s="4"/>
      <c r="L136" s="199"/>
    </row>
    <row r="137" spans="1:25" s="3" customFormat="1" ht="58" x14ac:dyDescent="0.35">
      <c r="B137" s="43">
        <v>3</v>
      </c>
      <c r="C137" s="46" t="s">
        <v>174</v>
      </c>
      <c r="D137" s="338" t="s">
        <v>408</v>
      </c>
      <c r="E137" s="339" t="s">
        <v>413</v>
      </c>
      <c r="F137" s="340" t="s">
        <v>414</v>
      </c>
      <c r="G137" s="340" t="s">
        <v>415</v>
      </c>
      <c r="H137" s="4"/>
      <c r="I137" s="5"/>
      <c r="J137" s="4"/>
      <c r="K137" s="4"/>
      <c r="L137" s="199"/>
    </row>
    <row r="138" spans="1:25" s="3" customFormat="1" ht="58" x14ac:dyDescent="0.35">
      <c r="B138" s="43">
        <v>4</v>
      </c>
      <c r="C138" s="46" t="s">
        <v>175</v>
      </c>
      <c r="D138" s="338" t="s">
        <v>408</v>
      </c>
      <c r="E138" s="339" t="s">
        <v>413</v>
      </c>
      <c r="F138" s="340" t="s">
        <v>414</v>
      </c>
      <c r="G138" s="340" t="s">
        <v>415</v>
      </c>
      <c r="H138" s="4"/>
      <c r="I138" s="5"/>
      <c r="J138" s="4"/>
      <c r="K138" s="4"/>
      <c r="L138" s="199"/>
    </row>
    <row r="139" spans="1:25" s="3" customFormat="1" ht="43.5" x14ac:dyDescent="0.35">
      <c r="B139" s="43">
        <v>5</v>
      </c>
      <c r="C139" s="46" t="s">
        <v>51</v>
      </c>
      <c r="D139" s="338" t="s">
        <v>410</v>
      </c>
      <c r="E139" s="339" t="s">
        <v>413</v>
      </c>
      <c r="F139" s="340" t="s">
        <v>414</v>
      </c>
      <c r="G139" s="340" t="s">
        <v>415</v>
      </c>
      <c r="H139" s="4"/>
      <c r="I139" s="5"/>
      <c r="J139" s="4"/>
      <c r="K139" s="4"/>
      <c r="L139" s="199"/>
    </row>
    <row r="140" spans="1:25" s="3" customFormat="1" ht="43.5" x14ac:dyDescent="0.35">
      <c r="B140" s="43">
        <v>6</v>
      </c>
      <c r="C140" s="46" t="s">
        <v>52</v>
      </c>
      <c r="D140" s="338" t="s">
        <v>411</v>
      </c>
      <c r="E140" s="339" t="s">
        <v>413</v>
      </c>
      <c r="F140" s="340" t="s">
        <v>414</v>
      </c>
      <c r="G140" s="340" t="s">
        <v>415</v>
      </c>
      <c r="H140" s="4"/>
      <c r="I140" s="5"/>
      <c r="J140" s="4"/>
      <c r="K140" s="4"/>
      <c r="L140" s="199"/>
    </row>
    <row r="141" spans="1:25" s="3" customFormat="1" ht="43.5" x14ac:dyDescent="0.35">
      <c r="B141" s="43">
        <v>7</v>
      </c>
      <c r="C141" s="46" t="s">
        <v>48</v>
      </c>
      <c r="D141" s="338" t="s">
        <v>412</v>
      </c>
      <c r="E141" s="339" t="s">
        <v>413</v>
      </c>
      <c r="F141" s="340" t="s">
        <v>414</v>
      </c>
      <c r="G141" s="340" t="s">
        <v>415</v>
      </c>
      <c r="H141" s="4"/>
      <c r="I141" s="5"/>
      <c r="J141" s="4"/>
      <c r="K141" s="4"/>
      <c r="L141" s="199"/>
    </row>
    <row r="142" spans="1:25" s="3" customFormat="1" x14ac:dyDescent="0.35">
      <c r="C142" s="64"/>
      <c r="E142" s="132" t="s">
        <v>176</v>
      </c>
      <c r="F142" s="68">
        <f>SUM(F135:F141)</f>
        <v>0</v>
      </c>
      <c r="G142" s="68">
        <f>SUM(G135:G141)</f>
        <v>0</v>
      </c>
      <c r="H142" s="4"/>
      <c r="I142" s="5"/>
      <c r="J142" s="4"/>
      <c r="K142" s="4"/>
      <c r="L142" s="199"/>
    </row>
    <row r="143" spans="1:25" s="3" customFormat="1" x14ac:dyDescent="0.35">
      <c r="C143" s="64"/>
      <c r="E143" s="132"/>
      <c r="F143" s="68"/>
      <c r="G143" s="68"/>
      <c r="H143" s="4"/>
      <c r="I143" s="5"/>
      <c r="J143" s="4"/>
      <c r="K143" s="4"/>
      <c r="L143" s="199"/>
    </row>
    <row r="144" spans="1:25" s="3" customFormat="1" x14ac:dyDescent="0.35">
      <c r="A144" s="45" t="s">
        <v>41</v>
      </c>
      <c r="L144" s="198"/>
    </row>
    <row r="145" spans="1:12" s="3" customFormat="1" ht="26" x14ac:dyDescent="0.35">
      <c r="A145" s="8" t="s">
        <v>33</v>
      </c>
      <c r="B145" s="8" t="s">
        <v>94</v>
      </c>
      <c r="C145" s="8" t="s">
        <v>95</v>
      </c>
      <c r="D145" s="61" t="s">
        <v>96</v>
      </c>
      <c r="E145" s="10" t="s">
        <v>99</v>
      </c>
      <c r="L145" s="198"/>
    </row>
    <row r="146" spans="1:12" s="3" customFormat="1" ht="43.5" x14ac:dyDescent="0.35">
      <c r="A146" s="43">
        <v>1</v>
      </c>
      <c r="B146" s="339" t="s">
        <v>419</v>
      </c>
      <c r="C146" s="339" t="s">
        <v>416</v>
      </c>
      <c r="D146" s="339" t="s">
        <v>413</v>
      </c>
      <c r="E146" s="340" t="s">
        <v>417</v>
      </c>
      <c r="H146" s="18"/>
      <c r="I146" s="5"/>
      <c r="J146" s="4"/>
      <c r="K146" s="4"/>
      <c r="L146" s="199"/>
    </row>
    <row r="147" spans="1:12" s="3" customFormat="1" x14ac:dyDescent="0.35">
      <c r="A147" s="18"/>
      <c r="B147" s="18"/>
      <c r="C147" s="64"/>
      <c r="H147" s="18"/>
      <c r="I147" s="5"/>
      <c r="J147" s="4"/>
      <c r="K147" s="4"/>
      <c r="L147" s="199"/>
    </row>
    <row r="148" spans="1:12" s="3" customFormat="1" x14ac:dyDescent="0.35">
      <c r="A148" s="45" t="s">
        <v>205</v>
      </c>
      <c r="F148" s="55"/>
      <c r="G148" s="5"/>
      <c r="H148" s="4"/>
      <c r="I148" s="5"/>
      <c r="J148" s="4"/>
      <c r="K148" s="4"/>
      <c r="L148" s="199"/>
    </row>
    <row r="149" spans="1:12" s="3" customFormat="1" ht="26" x14ac:dyDescent="0.35">
      <c r="A149" s="8" t="s">
        <v>33</v>
      </c>
      <c r="B149" s="8" t="s">
        <v>94</v>
      </c>
      <c r="C149" s="8" t="s">
        <v>95</v>
      </c>
      <c r="D149" s="61" t="s">
        <v>96</v>
      </c>
      <c r="E149" s="10" t="s">
        <v>99</v>
      </c>
      <c r="F149" s="55"/>
      <c r="G149" s="5"/>
      <c r="H149" s="4"/>
      <c r="I149" s="5"/>
      <c r="J149" s="4"/>
      <c r="K149" s="4"/>
      <c r="L149" s="199"/>
    </row>
    <row r="150" spans="1:12" s="3" customFormat="1" ht="43.5" x14ac:dyDescent="0.35">
      <c r="A150" s="43">
        <v>1</v>
      </c>
      <c r="B150" s="339" t="s">
        <v>419</v>
      </c>
      <c r="C150" s="339" t="s">
        <v>416</v>
      </c>
      <c r="D150" s="339" t="s">
        <v>413</v>
      </c>
      <c r="E150" s="340" t="s">
        <v>417</v>
      </c>
      <c r="F150" s="55"/>
      <c r="G150" s="5"/>
      <c r="H150" s="4"/>
      <c r="I150" s="5"/>
      <c r="J150" s="4"/>
      <c r="K150" s="4"/>
      <c r="L150" s="199"/>
    </row>
    <row r="151" spans="1:12" s="3" customFormat="1" x14ac:dyDescent="0.35">
      <c r="C151" s="64"/>
      <c r="F151" s="55"/>
      <c r="G151" s="5"/>
      <c r="H151" s="4"/>
      <c r="I151" s="5"/>
      <c r="J151" s="4"/>
      <c r="K151" s="4"/>
      <c r="L151" s="199"/>
    </row>
    <row r="152" spans="1:12" s="3" customFormat="1" x14ac:dyDescent="0.35">
      <c r="A152" s="65" t="s">
        <v>100</v>
      </c>
      <c r="C152" s="64"/>
      <c r="F152" s="55"/>
      <c r="G152" s="5"/>
      <c r="H152" s="4"/>
      <c r="I152" s="5"/>
      <c r="J152" s="4"/>
      <c r="K152" s="4"/>
      <c r="L152" s="199"/>
    </row>
    <row r="153" spans="1:12" s="3" customFormat="1" ht="26" x14ac:dyDescent="0.35">
      <c r="A153" s="8" t="s">
        <v>33</v>
      </c>
      <c r="B153" s="8" t="s">
        <v>94</v>
      </c>
      <c r="C153" s="8" t="s">
        <v>95</v>
      </c>
      <c r="D153" s="10" t="s">
        <v>96</v>
      </c>
      <c r="E153" s="10" t="s">
        <v>99</v>
      </c>
      <c r="F153" s="55"/>
      <c r="G153" s="5"/>
      <c r="H153" s="4"/>
      <c r="I153" s="5"/>
      <c r="J153" s="4"/>
      <c r="K153" s="4"/>
      <c r="L153" s="199"/>
    </row>
    <row r="154" spans="1:12" s="3" customFormat="1" ht="43.5" x14ac:dyDescent="0.35">
      <c r="A154" s="43">
        <v>1</v>
      </c>
      <c r="B154" s="67" t="s">
        <v>100</v>
      </c>
      <c r="C154" s="339" t="s">
        <v>418</v>
      </c>
      <c r="D154" s="339" t="s">
        <v>413</v>
      </c>
      <c r="E154" s="340" t="s">
        <v>417</v>
      </c>
      <c r="F154" s="55"/>
      <c r="G154" s="5"/>
      <c r="H154" s="4"/>
      <c r="I154" s="5"/>
      <c r="J154" s="4"/>
      <c r="K154" s="4"/>
      <c r="L154" s="199"/>
    </row>
  </sheetData>
  <mergeCells count="20">
    <mergeCell ref="G127:N127"/>
    <mergeCell ref="P127:W127"/>
    <mergeCell ref="A112:L112"/>
    <mergeCell ref="G114:N114"/>
    <mergeCell ref="P114:W114"/>
    <mergeCell ref="G121:N121"/>
    <mergeCell ref="P121:W121"/>
    <mergeCell ref="D101:G101"/>
    <mergeCell ref="D102:G102"/>
    <mergeCell ref="A3:L3"/>
    <mergeCell ref="E6:F6"/>
    <mergeCell ref="G6:H6"/>
    <mergeCell ref="E12:F12"/>
    <mergeCell ref="G12:H12"/>
    <mergeCell ref="A23:L23"/>
    <mergeCell ref="E18:F18"/>
    <mergeCell ref="G18:H18"/>
    <mergeCell ref="D32:F32"/>
    <mergeCell ref="H32:I32"/>
    <mergeCell ref="C92:E9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AB6CD-CA70-484C-A6F8-1AC1FCA11010}">
  <sheetPr>
    <tabColor rgb="FFFFFF00"/>
  </sheetPr>
  <dimension ref="A1:AG254"/>
  <sheetViews>
    <sheetView zoomScale="85" zoomScaleNormal="85" workbookViewId="0">
      <selection activeCell="D19" sqref="D19:D23"/>
    </sheetView>
  </sheetViews>
  <sheetFormatPr defaultRowHeight="14.5" x14ac:dyDescent="0.35"/>
  <cols>
    <col min="1" max="1" width="11.26953125" style="1" customWidth="1"/>
    <col min="2" max="2" width="18.54296875" style="1" customWidth="1"/>
    <col min="3" max="3" width="25.81640625" style="1" customWidth="1"/>
    <col min="4" max="4" width="17.90625" style="1" bestFit="1" customWidth="1"/>
    <col min="5" max="5" width="15" style="1" customWidth="1"/>
    <col min="6" max="6" width="28.36328125" style="1" customWidth="1"/>
    <col min="7" max="7" width="36.08984375" style="1" customWidth="1"/>
    <col min="8" max="8" width="16.453125" style="1" customWidth="1"/>
    <col min="9" max="9" width="16.1796875" style="1" bestFit="1" customWidth="1"/>
    <col min="10" max="10" width="13.08984375" style="1" customWidth="1"/>
    <col min="11" max="11" width="54.453125" style="1" customWidth="1"/>
    <col min="12" max="12" width="14.1796875" style="197" customWidth="1"/>
    <col min="13" max="13" width="17.1796875" style="1" customWidth="1"/>
    <col min="14" max="14" width="15.36328125" style="1" customWidth="1"/>
    <col min="15" max="15" width="14.08984375" style="1" customWidth="1"/>
    <col min="16" max="16" width="14.6328125" style="1" bestFit="1" customWidth="1"/>
    <col min="17" max="17" width="11.81640625" style="1" bestFit="1" customWidth="1"/>
    <col min="18" max="18" width="14.90625" style="1" customWidth="1"/>
    <col min="19" max="19" width="15.453125" style="1" customWidth="1"/>
    <col min="20" max="20" width="12" style="1" customWidth="1"/>
    <col min="21" max="21" width="12.7265625" style="1" customWidth="1"/>
    <col min="22" max="22" width="13" style="1" customWidth="1"/>
    <col min="23" max="23" width="14.36328125" style="1" customWidth="1"/>
    <col min="24" max="24" width="13.81640625" style="1" customWidth="1"/>
    <col min="25" max="25" width="10.81640625" style="1" bestFit="1" customWidth="1"/>
    <col min="26" max="27" width="11.08984375" style="1" customWidth="1"/>
    <col min="28" max="16384" width="8.7265625" style="1"/>
  </cols>
  <sheetData>
    <row r="1" spans="1:12" x14ac:dyDescent="0.35">
      <c r="A1" s="69" t="s">
        <v>147</v>
      </c>
    </row>
    <row r="3" spans="1:12" x14ac:dyDescent="0.35">
      <c r="A3" s="248" t="s">
        <v>121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4" spans="1:12" x14ac:dyDescent="0.35">
      <c r="A4" s="69">
        <v>1</v>
      </c>
      <c r="B4" s="69" t="s">
        <v>110</v>
      </c>
    </row>
    <row r="5" spans="1:12" x14ac:dyDescent="0.35">
      <c r="G5" s="73" t="s">
        <v>108</v>
      </c>
    </row>
    <row r="6" spans="1:12" x14ac:dyDescent="0.35">
      <c r="B6" s="70" t="s">
        <v>33</v>
      </c>
      <c r="C6" s="70" t="s">
        <v>65</v>
      </c>
      <c r="D6" s="70" t="s">
        <v>104</v>
      </c>
      <c r="E6" s="70" t="s">
        <v>105</v>
      </c>
      <c r="F6" s="70" t="s">
        <v>106</v>
      </c>
      <c r="G6" s="70" t="s">
        <v>107</v>
      </c>
      <c r="H6" s="70" t="s">
        <v>10</v>
      </c>
    </row>
    <row r="7" spans="1:12" x14ac:dyDescent="0.35">
      <c r="B7" s="79"/>
      <c r="C7" s="79"/>
      <c r="D7" s="72"/>
      <c r="E7" s="72"/>
      <c r="F7" s="71"/>
      <c r="G7" s="71"/>
      <c r="H7" s="79"/>
    </row>
    <row r="9" spans="1:12" x14ac:dyDescent="0.35">
      <c r="A9" s="69">
        <v>2</v>
      </c>
      <c r="B9" s="69" t="s">
        <v>109</v>
      </c>
    </row>
    <row r="11" spans="1:12" x14ac:dyDescent="0.35">
      <c r="B11" s="241" t="s">
        <v>134</v>
      </c>
      <c r="C11" s="241"/>
      <c r="D11" s="73" t="s">
        <v>113</v>
      </c>
    </row>
    <row r="13" spans="1:12" x14ac:dyDescent="0.35">
      <c r="D13" s="306" t="s">
        <v>140</v>
      </c>
      <c r="E13" s="306"/>
      <c r="F13" s="250" t="s">
        <v>141</v>
      </c>
      <c r="G13" s="250"/>
      <c r="H13" s="307" t="s">
        <v>142</v>
      </c>
      <c r="I13" s="308"/>
      <c r="J13" s="308"/>
      <c r="K13" s="308"/>
    </row>
    <row r="14" spans="1:12" x14ac:dyDescent="0.35">
      <c r="B14" s="10" t="s">
        <v>11</v>
      </c>
      <c r="C14" s="61" t="s">
        <v>114</v>
      </c>
      <c r="D14" s="165" t="s">
        <v>148</v>
      </c>
      <c r="E14" s="165" t="s">
        <v>115</v>
      </c>
      <c r="F14" s="164" t="s">
        <v>135</v>
      </c>
      <c r="G14" s="164" t="s">
        <v>146</v>
      </c>
      <c r="H14" s="100" t="s">
        <v>115</v>
      </c>
      <c r="I14" s="101" t="s">
        <v>135</v>
      </c>
      <c r="J14" s="100" t="s">
        <v>115</v>
      </c>
      <c r="K14" s="101" t="s">
        <v>135</v>
      </c>
    </row>
    <row r="15" spans="1:12" x14ac:dyDescent="0.35">
      <c r="B15" s="41"/>
      <c r="C15" s="41"/>
      <c r="D15" s="41">
        <v>3900</v>
      </c>
      <c r="E15" s="41">
        <v>3910</v>
      </c>
      <c r="F15" s="99">
        <v>3900</v>
      </c>
      <c r="G15" s="99">
        <v>3910</v>
      </c>
      <c r="H15" s="11">
        <f>D15-F15</f>
        <v>0</v>
      </c>
      <c r="I15" s="11">
        <f>E15-G15</f>
        <v>0</v>
      </c>
      <c r="J15" s="102">
        <f>H15/F15</f>
        <v>0</v>
      </c>
      <c r="K15" s="102">
        <f>I15/G15</f>
        <v>0</v>
      </c>
    </row>
    <row r="17" spans="2:11" x14ac:dyDescent="0.35">
      <c r="G17" s="309" t="s">
        <v>140</v>
      </c>
      <c r="H17" s="310"/>
      <c r="I17" s="311" t="s">
        <v>141</v>
      </c>
      <c r="J17" s="312"/>
    </row>
    <row r="18" spans="2:11" ht="26" x14ac:dyDescent="0.35">
      <c r="B18" s="8" t="s">
        <v>65</v>
      </c>
      <c r="C18" s="8" t="s">
        <v>65</v>
      </c>
      <c r="D18" s="8" t="s">
        <v>119</v>
      </c>
      <c r="E18" s="8" t="s">
        <v>111</v>
      </c>
      <c r="F18" s="10" t="s">
        <v>112</v>
      </c>
      <c r="G18" s="163" t="s">
        <v>143</v>
      </c>
      <c r="H18" s="163" t="s">
        <v>144</v>
      </c>
      <c r="I18" s="103" t="s">
        <v>143</v>
      </c>
      <c r="J18" s="103" t="s">
        <v>144</v>
      </c>
    </row>
    <row r="19" spans="2:11" ht="43.5" x14ac:dyDescent="0.35">
      <c r="B19" s="43">
        <v>1</v>
      </c>
      <c r="C19" s="97" t="s">
        <v>120</v>
      </c>
      <c r="D19" s="97" t="s">
        <v>160</v>
      </c>
      <c r="E19" s="96" t="s">
        <v>136</v>
      </c>
      <c r="F19" s="74">
        <v>8</v>
      </c>
      <c r="G19" s="237">
        <f>(F19/(SUM($F$19:$F$19)))*$D$15</f>
        <v>3900</v>
      </c>
      <c r="H19" s="237">
        <f>(F19/(SUM($F$19:$F$19)))*$E$15</f>
        <v>3910</v>
      </c>
      <c r="I19" s="83">
        <f>(F19/(SUM($F$19:$F$19)))*$F$15</f>
        <v>3900</v>
      </c>
      <c r="J19" s="83">
        <f>(F19/(SUM($F$19:$F$19)))*$G$15</f>
        <v>3910</v>
      </c>
      <c r="K19" s="95" t="s">
        <v>116</v>
      </c>
    </row>
    <row r="21" spans="2:11" x14ac:dyDescent="0.35">
      <c r="B21" s="78" t="s">
        <v>253</v>
      </c>
      <c r="C21" s="77"/>
      <c r="D21" s="77"/>
      <c r="E21" s="77"/>
    </row>
    <row r="22" spans="2:11" x14ac:dyDescent="0.35">
      <c r="B22" s="78"/>
      <c r="C22" s="77"/>
      <c r="D22" s="77"/>
      <c r="E22" s="249" t="s">
        <v>140</v>
      </c>
      <c r="F22" s="249"/>
      <c r="G22" s="250" t="s">
        <v>145</v>
      </c>
      <c r="H22" s="250"/>
    </row>
    <row r="23" spans="2:11" ht="26" x14ac:dyDescent="0.35">
      <c r="B23" s="10" t="s">
        <v>65</v>
      </c>
      <c r="C23" s="10" t="s">
        <v>104</v>
      </c>
      <c r="D23" s="10" t="s">
        <v>117</v>
      </c>
      <c r="E23" s="10" t="s">
        <v>118</v>
      </c>
      <c r="F23" s="10" t="s">
        <v>122</v>
      </c>
      <c r="G23" s="103" t="s">
        <v>118</v>
      </c>
      <c r="H23" s="103" t="s">
        <v>122</v>
      </c>
    </row>
    <row r="24" spans="2:11" x14ac:dyDescent="0.35">
      <c r="B24" s="75">
        <v>1</v>
      </c>
      <c r="C24" s="71" t="s">
        <v>136</v>
      </c>
      <c r="D24" s="83" t="str">
        <f>C24&amp;"-"&amp;"BC"&amp;"."&amp;1</f>
        <v>DEBDA0319-T1-BC.1</v>
      </c>
      <c r="E24" s="84">
        <f t="shared" ref="E24:E31" si="0">$G$19/$F$19</f>
        <v>487.5</v>
      </c>
      <c r="F24" s="84">
        <f t="shared" ref="F24:F31" si="1">$H$19/$F$19</f>
        <v>488.75</v>
      </c>
      <c r="G24" s="104">
        <f t="shared" ref="G24:G31" si="2">$I$19/$F$19</f>
        <v>487.5</v>
      </c>
      <c r="H24" s="104">
        <f t="shared" ref="H24:H31" si="3">$J$19/$F$19</f>
        <v>488.75</v>
      </c>
    </row>
    <row r="25" spans="2:11" x14ac:dyDescent="0.35">
      <c r="B25" s="75">
        <v>1</v>
      </c>
      <c r="C25" s="71" t="s">
        <v>136</v>
      </c>
      <c r="D25" s="83" t="str">
        <f>C25&amp;"-"&amp;"BC"&amp;"."&amp;2</f>
        <v>DEBDA0319-T1-BC.2</v>
      </c>
      <c r="E25" s="84">
        <f t="shared" si="0"/>
        <v>487.5</v>
      </c>
      <c r="F25" s="84">
        <f t="shared" si="1"/>
        <v>488.75</v>
      </c>
      <c r="G25" s="104">
        <f t="shared" si="2"/>
        <v>487.5</v>
      </c>
      <c r="H25" s="104">
        <f t="shared" si="3"/>
        <v>488.75</v>
      </c>
    </row>
    <row r="26" spans="2:11" x14ac:dyDescent="0.35">
      <c r="B26" s="75">
        <v>1</v>
      </c>
      <c r="C26" s="71" t="s">
        <v>136</v>
      </c>
      <c r="D26" s="83" t="str">
        <f>C26&amp;"-"&amp;"BC"&amp;"."&amp;3</f>
        <v>DEBDA0319-T1-BC.3</v>
      </c>
      <c r="E26" s="84">
        <f t="shared" si="0"/>
        <v>487.5</v>
      </c>
      <c r="F26" s="84">
        <f t="shared" si="1"/>
        <v>488.75</v>
      </c>
      <c r="G26" s="104">
        <f t="shared" si="2"/>
        <v>487.5</v>
      </c>
      <c r="H26" s="104">
        <f t="shared" si="3"/>
        <v>488.75</v>
      </c>
    </row>
    <row r="27" spans="2:11" x14ac:dyDescent="0.35">
      <c r="B27" s="75">
        <v>1</v>
      </c>
      <c r="C27" s="71" t="s">
        <v>136</v>
      </c>
      <c r="D27" s="83" t="str">
        <f>C27&amp;"-"&amp;"BC"&amp;"."&amp;4</f>
        <v>DEBDA0319-T1-BC.4</v>
      </c>
      <c r="E27" s="84">
        <f t="shared" si="0"/>
        <v>487.5</v>
      </c>
      <c r="F27" s="84">
        <f t="shared" si="1"/>
        <v>488.75</v>
      </c>
      <c r="G27" s="104">
        <f t="shared" si="2"/>
        <v>487.5</v>
      </c>
      <c r="H27" s="104">
        <f t="shared" si="3"/>
        <v>488.75</v>
      </c>
    </row>
    <row r="28" spans="2:11" x14ac:dyDescent="0.35">
      <c r="B28" s="75">
        <v>1</v>
      </c>
      <c r="C28" s="71" t="s">
        <v>136</v>
      </c>
      <c r="D28" s="83" t="str">
        <f>C28&amp;"-"&amp;"BC"&amp;"."&amp;5</f>
        <v>DEBDA0319-T1-BC.5</v>
      </c>
      <c r="E28" s="84">
        <f t="shared" si="0"/>
        <v>487.5</v>
      </c>
      <c r="F28" s="84">
        <f t="shared" si="1"/>
        <v>488.75</v>
      </c>
      <c r="G28" s="104">
        <f t="shared" si="2"/>
        <v>487.5</v>
      </c>
      <c r="H28" s="104">
        <f t="shared" si="3"/>
        <v>488.75</v>
      </c>
    </row>
    <row r="29" spans="2:11" x14ac:dyDescent="0.35">
      <c r="B29" s="75">
        <v>1</v>
      </c>
      <c r="C29" s="71" t="s">
        <v>136</v>
      </c>
      <c r="D29" s="83" t="str">
        <f>C29&amp;"-"&amp;"BC"&amp;"."&amp;6</f>
        <v>DEBDA0319-T1-BC.6</v>
      </c>
      <c r="E29" s="84">
        <f t="shared" si="0"/>
        <v>487.5</v>
      </c>
      <c r="F29" s="84">
        <f t="shared" si="1"/>
        <v>488.75</v>
      </c>
      <c r="G29" s="104">
        <f t="shared" si="2"/>
        <v>487.5</v>
      </c>
      <c r="H29" s="104">
        <f t="shared" si="3"/>
        <v>488.75</v>
      </c>
    </row>
    <row r="30" spans="2:11" x14ac:dyDescent="0.35">
      <c r="B30" s="75">
        <v>1</v>
      </c>
      <c r="C30" s="71" t="s">
        <v>136</v>
      </c>
      <c r="D30" s="83" t="str">
        <f>C30&amp;"-"&amp;"BC"&amp;"."&amp;7</f>
        <v>DEBDA0319-T1-BC.7</v>
      </c>
      <c r="E30" s="84">
        <f t="shared" si="0"/>
        <v>487.5</v>
      </c>
      <c r="F30" s="84">
        <f t="shared" si="1"/>
        <v>488.75</v>
      </c>
      <c r="G30" s="104">
        <f t="shared" si="2"/>
        <v>487.5</v>
      </c>
      <c r="H30" s="104">
        <f t="shared" si="3"/>
        <v>488.75</v>
      </c>
    </row>
    <row r="31" spans="2:11" x14ac:dyDescent="0.35">
      <c r="B31" s="75">
        <v>1</v>
      </c>
      <c r="C31" s="71" t="s">
        <v>136</v>
      </c>
      <c r="D31" s="83" t="str">
        <f>C31&amp;"-"&amp;"BC"&amp;"."&amp;8</f>
        <v>DEBDA0319-T1-BC.8</v>
      </c>
      <c r="E31" s="84">
        <f t="shared" si="0"/>
        <v>487.5</v>
      </c>
      <c r="F31" s="84">
        <f t="shared" si="1"/>
        <v>488.75</v>
      </c>
      <c r="G31" s="104">
        <f t="shared" si="2"/>
        <v>487.5</v>
      </c>
      <c r="H31" s="104">
        <f t="shared" si="3"/>
        <v>488.75</v>
      </c>
    </row>
    <row r="33" spans="1:12" x14ac:dyDescent="0.35">
      <c r="H33" s="73" t="s">
        <v>59</v>
      </c>
    </row>
    <row r="35" spans="1:12" x14ac:dyDescent="0.35">
      <c r="A35" s="251" t="s">
        <v>137</v>
      </c>
      <c r="B35" s="251"/>
      <c r="C35" s="251"/>
      <c r="D35" s="251"/>
      <c r="E35" s="251"/>
      <c r="F35" s="251"/>
      <c r="G35" s="251"/>
      <c r="H35" s="251"/>
      <c r="I35" s="251"/>
      <c r="J35" s="251"/>
      <c r="K35" s="251"/>
      <c r="L35" s="251"/>
    </row>
    <row r="37" spans="1:12" s="3" customFormat="1" x14ac:dyDescent="0.35">
      <c r="B37" s="7" t="s">
        <v>0</v>
      </c>
      <c r="C37" s="98" t="s">
        <v>138</v>
      </c>
      <c r="D37" s="4"/>
      <c r="E37" s="4"/>
      <c r="F37" s="4"/>
      <c r="G37" s="5"/>
      <c r="H37" s="4"/>
      <c r="I37" s="6"/>
      <c r="L37" s="198"/>
    </row>
    <row r="38" spans="1:12" s="3" customFormat="1" ht="15" customHeight="1" x14ac:dyDescent="0.35">
      <c r="A38" s="2"/>
      <c r="B38" s="4"/>
      <c r="C38" s="4"/>
      <c r="D38" s="4"/>
      <c r="E38" s="4"/>
      <c r="F38" s="4"/>
      <c r="G38" s="5"/>
      <c r="H38" s="4"/>
      <c r="I38" s="6"/>
      <c r="L38" s="198"/>
    </row>
    <row r="39" spans="1:12" s="3" customFormat="1" ht="59" customHeight="1" x14ac:dyDescent="0.35">
      <c r="A39" s="2"/>
      <c r="B39" s="8" t="s">
        <v>1</v>
      </c>
      <c r="C39" s="8" t="s">
        <v>2</v>
      </c>
      <c r="D39" s="8" t="s">
        <v>3</v>
      </c>
      <c r="E39" s="8" t="s">
        <v>4</v>
      </c>
      <c r="F39" s="8" t="s">
        <v>5</v>
      </c>
      <c r="G39" s="9" t="s">
        <v>6</v>
      </c>
      <c r="H39" s="4"/>
      <c r="I39" s="6"/>
      <c r="L39" s="198"/>
    </row>
    <row r="40" spans="1:12" s="3" customFormat="1" ht="15" customHeight="1" x14ac:dyDescent="0.35">
      <c r="A40" s="2"/>
      <c r="B40" s="88">
        <v>46233</v>
      </c>
      <c r="C40" s="89" t="s">
        <v>139</v>
      </c>
      <c r="D40" s="89" t="s">
        <v>63</v>
      </c>
      <c r="E40" s="89" t="s">
        <v>64</v>
      </c>
      <c r="F40" s="39">
        <v>0.625</v>
      </c>
      <c r="G40" s="40">
        <v>0.95833333333333337</v>
      </c>
      <c r="H40" s="6"/>
      <c r="I40" s="6"/>
      <c r="L40" s="198"/>
    </row>
    <row r="41" spans="1:12" s="3" customFormat="1" x14ac:dyDescent="0.35">
      <c r="A41" s="2"/>
      <c r="C41" s="4"/>
      <c r="D41" s="4"/>
      <c r="E41" s="4"/>
      <c r="F41" s="4"/>
      <c r="G41" s="5"/>
      <c r="H41" s="4"/>
      <c r="I41" s="6"/>
      <c r="L41" s="198"/>
    </row>
    <row r="42" spans="1:12" s="3" customFormat="1" x14ac:dyDescent="0.35">
      <c r="A42" s="12">
        <v>1</v>
      </c>
      <c r="B42" s="2" t="s">
        <v>9</v>
      </c>
      <c r="C42" s="4"/>
      <c r="D42" s="4"/>
      <c r="E42" s="4"/>
      <c r="F42" s="4"/>
      <c r="G42" s="5"/>
      <c r="H42" s="4"/>
      <c r="I42" s="6"/>
      <c r="L42" s="198"/>
    </row>
    <row r="43" spans="1:12" s="3" customFormat="1" x14ac:dyDescent="0.35">
      <c r="A43" s="2"/>
      <c r="C43" s="4"/>
      <c r="L43" s="198"/>
    </row>
    <row r="44" spans="1:12" s="3" customFormat="1" ht="15" customHeight="1" x14ac:dyDescent="0.35">
      <c r="A44" s="2"/>
      <c r="D44" s="252" t="s">
        <v>7</v>
      </c>
      <c r="E44" s="253"/>
      <c r="F44" s="254"/>
      <c r="H44" s="255" t="s">
        <v>121</v>
      </c>
      <c r="I44" s="256"/>
      <c r="K44" s="1"/>
      <c r="L44" s="198"/>
    </row>
    <row r="45" spans="1:12" s="3" customFormat="1" ht="14.5" customHeight="1" x14ac:dyDescent="0.35">
      <c r="A45" s="2"/>
      <c r="B45" s="8" t="s">
        <v>260</v>
      </c>
      <c r="C45" s="8" t="s">
        <v>261</v>
      </c>
      <c r="D45" s="10" t="s">
        <v>149</v>
      </c>
      <c r="E45" s="10" t="s">
        <v>150</v>
      </c>
      <c r="F45" s="8" t="s">
        <v>8</v>
      </c>
      <c r="H45" s="8" t="s">
        <v>11</v>
      </c>
      <c r="I45" s="8" t="s">
        <v>12</v>
      </c>
      <c r="L45" s="198"/>
    </row>
    <row r="46" spans="1:12" s="3" customFormat="1" ht="29" x14ac:dyDescent="0.35">
      <c r="A46" s="90" t="s">
        <v>259</v>
      </c>
      <c r="B46" s="87" t="str">
        <f>D24</f>
        <v>DEBDA0319-T1-BC.1</v>
      </c>
      <c r="C46" s="111" t="str">
        <f>$D$19</f>
        <v>GALVALUM SLITTED NON BORON 0.669-150-AZ70-G550-</v>
      </c>
      <c r="D46" s="33">
        <f>G24</f>
        <v>487.5</v>
      </c>
      <c r="E46" s="33">
        <f>H24</f>
        <v>488.75</v>
      </c>
      <c r="F46" s="33"/>
      <c r="H46" s="33">
        <f>$B$15</f>
        <v>0</v>
      </c>
      <c r="I46" s="33">
        <f>$C$15</f>
        <v>0</v>
      </c>
      <c r="L46" s="198"/>
    </row>
    <row r="47" spans="1:12" s="3" customFormat="1" ht="29" x14ac:dyDescent="0.35">
      <c r="A47" s="90" t="s">
        <v>259</v>
      </c>
      <c r="B47" s="87" t="str">
        <f t="shared" ref="B47:B49" si="4">D25</f>
        <v>DEBDA0319-T1-BC.2</v>
      </c>
      <c r="C47" s="111" t="str">
        <f t="shared" ref="C47:C49" si="5">$D$19</f>
        <v>GALVALUM SLITTED NON BORON 0.669-150-AZ70-G550-</v>
      </c>
      <c r="D47" s="33">
        <f t="shared" ref="D47:E47" si="6">G25</f>
        <v>487.5</v>
      </c>
      <c r="E47" s="33">
        <f t="shared" si="6"/>
        <v>488.75</v>
      </c>
      <c r="F47" s="33"/>
      <c r="G47" s="1"/>
      <c r="H47" s="1"/>
      <c r="I47" s="1"/>
      <c r="J47" s="1"/>
      <c r="K47" s="1"/>
      <c r="L47" s="198"/>
    </row>
    <row r="48" spans="1:12" s="3" customFormat="1" ht="29" x14ac:dyDescent="0.35">
      <c r="A48" s="90" t="s">
        <v>259</v>
      </c>
      <c r="B48" s="87" t="str">
        <f t="shared" si="4"/>
        <v>DEBDA0319-T1-BC.3</v>
      </c>
      <c r="C48" s="111" t="str">
        <f t="shared" si="5"/>
        <v>GALVALUM SLITTED NON BORON 0.669-150-AZ70-G550-</v>
      </c>
      <c r="D48" s="33">
        <f t="shared" ref="D48:E48" si="7">G26</f>
        <v>487.5</v>
      </c>
      <c r="E48" s="33">
        <f t="shared" si="7"/>
        <v>488.75</v>
      </c>
      <c r="F48" s="33"/>
      <c r="G48" s="1"/>
      <c r="H48" s="1"/>
      <c r="I48" s="1"/>
      <c r="J48" s="1"/>
      <c r="K48" s="1"/>
      <c r="L48" s="198"/>
    </row>
    <row r="49" spans="1:12" s="3" customFormat="1" ht="29" x14ac:dyDescent="0.35">
      <c r="A49" s="90" t="s">
        <v>259</v>
      </c>
      <c r="B49" s="87" t="str">
        <f t="shared" si="4"/>
        <v>DEBDA0319-T1-BC.4</v>
      </c>
      <c r="C49" s="111" t="str">
        <f t="shared" si="5"/>
        <v>GALVALUM SLITTED NON BORON 0.669-150-AZ70-G550-</v>
      </c>
      <c r="D49" s="33">
        <f t="shared" ref="D49:E49" si="8">G27</f>
        <v>487.5</v>
      </c>
      <c r="E49" s="33">
        <f t="shared" si="8"/>
        <v>488.75</v>
      </c>
      <c r="F49" s="33"/>
      <c r="G49" s="1"/>
      <c r="H49" s="1"/>
      <c r="I49" s="1"/>
      <c r="J49" s="1"/>
      <c r="K49" s="1"/>
      <c r="L49" s="198"/>
    </row>
    <row r="50" spans="1:12" s="3" customFormat="1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98"/>
    </row>
    <row r="52" spans="1:12" s="3" customFormat="1" x14ac:dyDescent="0.35">
      <c r="A52" s="12">
        <v>2</v>
      </c>
      <c r="B52" s="2" t="s">
        <v>13</v>
      </c>
      <c r="C52" s="4"/>
      <c r="D52" s="4"/>
      <c r="E52" s="4"/>
      <c r="F52" s="12"/>
      <c r="G52" s="12"/>
      <c r="H52" s="12"/>
      <c r="I52" s="12"/>
      <c r="L52" s="199"/>
    </row>
    <row r="53" spans="1:12" s="3" customFormat="1" x14ac:dyDescent="0.35">
      <c r="A53" s="13"/>
      <c r="B53" s="105" t="s">
        <v>14</v>
      </c>
      <c r="C53" s="16" t="s">
        <v>155</v>
      </c>
      <c r="E53" s="4"/>
      <c r="F53" s="17"/>
      <c r="G53" s="17"/>
      <c r="H53" s="17"/>
      <c r="I53" s="17"/>
      <c r="J53" s="17"/>
      <c r="K53" s="17"/>
      <c r="L53" s="200"/>
    </row>
    <row r="54" spans="1:12" s="3" customFormat="1" x14ac:dyDescent="0.35">
      <c r="A54" s="13"/>
      <c r="B54" s="105" t="s">
        <v>16</v>
      </c>
      <c r="C54" s="112" t="str">
        <f>D24</f>
        <v>DEBDA0319-T1-BC.1</v>
      </c>
      <c r="D54" s="118" t="s">
        <v>225</v>
      </c>
      <c r="E54" s="18" t="s">
        <v>226</v>
      </c>
      <c r="F54" s="17"/>
      <c r="G54" s="17"/>
      <c r="H54" s="17"/>
      <c r="I54" s="17"/>
      <c r="J54" s="17"/>
      <c r="K54" s="17"/>
      <c r="L54" s="200"/>
    </row>
    <row r="55" spans="1:12" s="3" customFormat="1" x14ac:dyDescent="0.35">
      <c r="A55" s="13"/>
      <c r="B55" s="18"/>
      <c r="C55" s="18"/>
      <c r="D55" s="18"/>
      <c r="E55" s="18"/>
      <c r="F55" s="17"/>
      <c r="G55" s="17"/>
      <c r="H55" s="17"/>
      <c r="I55" s="17"/>
      <c r="J55" s="17"/>
      <c r="K55" s="17"/>
      <c r="L55" s="200"/>
    </row>
    <row r="56" spans="1:12" s="3" customFormat="1" x14ac:dyDescent="0.35">
      <c r="A56" s="13"/>
      <c r="B56" s="20" t="s">
        <v>22</v>
      </c>
      <c r="F56" s="4"/>
      <c r="G56" s="17"/>
      <c r="H56" s="17"/>
      <c r="I56" s="17"/>
      <c r="J56" s="17"/>
      <c r="K56" s="17"/>
      <c r="L56" s="200"/>
    </row>
    <row r="57" spans="1:12" s="3" customFormat="1" x14ac:dyDescent="0.35">
      <c r="B57" s="2" t="s">
        <v>29</v>
      </c>
      <c r="C57" s="8" t="s">
        <v>24</v>
      </c>
      <c r="D57" s="8" t="s">
        <v>25</v>
      </c>
      <c r="E57" s="8" t="s">
        <v>26</v>
      </c>
      <c r="F57" s="8" t="s">
        <v>27</v>
      </c>
      <c r="G57" s="8" t="s">
        <v>307</v>
      </c>
      <c r="H57" s="17"/>
      <c r="I57" s="17"/>
      <c r="J57" s="17"/>
      <c r="K57" s="17"/>
      <c r="L57" s="200"/>
    </row>
    <row r="58" spans="1:12" s="3" customFormat="1" ht="26" x14ac:dyDescent="0.35">
      <c r="B58" s="4"/>
      <c r="C58" s="14">
        <v>347</v>
      </c>
      <c r="D58" s="22">
        <f>C58*E58</f>
        <v>1644.78</v>
      </c>
      <c r="E58" s="14">
        <v>4.74</v>
      </c>
      <c r="F58" s="21">
        <v>4.71</v>
      </c>
      <c r="G58" s="106">
        <f>(E58-F58)/F58</f>
        <v>6.3694267515924099E-3</v>
      </c>
      <c r="H58" s="179" t="s">
        <v>308</v>
      </c>
      <c r="I58" s="17"/>
      <c r="J58" s="17"/>
      <c r="K58" s="17"/>
      <c r="L58" s="200"/>
    </row>
    <row r="59" spans="1:12" s="3" customFormat="1" x14ac:dyDescent="0.35">
      <c r="A59" s="4"/>
      <c r="H59" s="4"/>
      <c r="I59" s="5"/>
      <c r="J59" s="4"/>
      <c r="K59" s="4"/>
      <c r="L59" s="199"/>
    </row>
    <row r="60" spans="1:12" s="3" customFormat="1" x14ac:dyDescent="0.35">
      <c r="A60" s="13"/>
      <c r="B60" s="105" t="s">
        <v>227</v>
      </c>
      <c r="C60" s="112" t="str">
        <f>D25</f>
        <v>DEBDA0319-T1-BC.2</v>
      </c>
      <c r="D60" s="118" t="s">
        <v>225</v>
      </c>
      <c r="E60" s="18" t="s">
        <v>228</v>
      </c>
      <c r="F60" s="17"/>
      <c r="G60" s="17"/>
      <c r="H60" s="17"/>
      <c r="I60" s="17"/>
      <c r="J60" s="17"/>
      <c r="K60" s="17"/>
      <c r="L60" s="200"/>
    </row>
    <row r="61" spans="1:12" s="3" customFormat="1" x14ac:dyDescent="0.35">
      <c r="A61" s="13"/>
      <c r="B61" s="18"/>
      <c r="C61" s="18"/>
      <c r="D61" s="18"/>
      <c r="E61" s="18"/>
      <c r="F61" s="17"/>
      <c r="G61" s="17"/>
      <c r="H61" s="17"/>
      <c r="I61" s="17"/>
      <c r="J61" s="17"/>
      <c r="K61" s="17"/>
      <c r="L61" s="200"/>
    </row>
    <row r="62" spans="1:12" s="3" customFormat="1" hidden="1" x14ac:dyDescent="0.35">
      <c r="A62" s="13"/>
      <c r="B62" s="20" t="s">
        <v>22</v>
      </c>
      <c r="F62" s="4"/>
      <c r="G62" s="17"/>
      <c r="H62" s="17"/>
      <c r="I62" s="17"/>
      <c r="J62" s="17"/>
      <c r="K62" s="17"/>
      <c r="L62" s="200"/>
    </row>
    <row r="63" spans="1:12" s="3" customFormat="1" hidden="1" x14ac:dyDescent="0.35">
      <c r="B63" s="2" t="s">
        <v>29</v>
      </c>
      <c r="C63" s="8" t="s">
        <v>24</v>
      </c>
      <c r="D63" s="8" t="s">
        <v>25</v>
      </c>
      <c r="E63" s="8" t="s">
        <v>26</v>
      </c>
      <c r="F63" s="8" t="s">
        <v>27</v>
      </c>
      <c r="G63" s="8" t="s">
        <v>28</v>
      </c>
      <c r="H63" s="17"/>
      <c r="I63" s="17"/>
      <c r="J63" s="17"/>
      <c r="K63" s="17"/>
      <c r="L63" s="200"/>
    </row>
    <row r="64" spans="1:12" s="3" customFormat="1" hidden="1" x14ac:dyDescent="0.35">
      <c r="B64" s="4"/>
      <c r="C64" s="14"/>
      <c r="D64" s="22">
        <f>C64*E64</f>
        <v>0</v>
      </c>
      <c r="E64" s="14">
        <v>4.74</v>
      </c>
      <c r="F64" s="21">
        <v>4.71</v>
      </c>
      <c r="G64" s="106">
        <f>(E64-F64)/F64</f>
        <v>6.3694267515924099E-3</v>
      </c>
      <c r="H64" s="17"/>
      <c r="I64" s="17"/>
      <c r="J64" s="17"/>
      <c r="K64" s="17"/>
      <c r="L64" s="200"/>
    </row>
    <row r="65" spans="1:12" s="3" customFormat="1" hidden="1" x14ac:dyDescent="0.35">
      <c r="A65" s="4"/>
      <c r="H65" s="4"/>
      <c r="I65" s="5"/>
      <c r="J65" s="4"/>
      <c r="K65" s="4"/>
      <c r="L65" s="199"/>
    </row>
    <row r="66" spans="1:12" s="3" customFormat="1" hidden="1" x14ac:dyDescent="0.35">
      <c r="A66" s="13"/>
      <c r="B66" s="105" t="s">
        <v>229</v>
      </c>
      <c r="C66" s="112" t="str">
        <f>D26</f>
        <v>DEBDA0319-T1-BC.3</v>
      </c>
      <c r="D66" s="118" t="s">
        <v>225</v>
      </c>
      <c r="E66" s="18" t="s">
        <v>230</v>
      </c>
      <c r="F66" s="17"/>
      <c r="G66" s="17"/>
      <c r="H66" s="17"/>
      <c r="I66" s="17"/>
      <c r="J66" s="17"/>
      <c r="K66" s="17"/>
      <c r="L66" s="200"/>
    </row>
    <row r="67" spans="1:12" s="3" customFormat="1" hidden="1" x14ac:dyDescent="0.35">
      <c r="A67" s="13"/>
      <c r="B67" s="18"/>
      <c r="C67" s="18"/>
      <c r="D67" s="18"/>
      <c r="E67" s="18"/>
      <c r="F67" s="17"/>
      <c r="G67" s="17"/>
      <c r="H67" s="17"/>
      <c r="I67" s="17"/>
      <c r="J67" s="17"/>
      <c r="K67" s="17"/>
      <c r="L67" s="200"/>
    </row>
    <row r="68" spans="1:12" s="3" customFormat="1" hidden="1" x14ac:dyDescent="0.35">
      <c r="A68" s="13"/>
      <c r="B68" s="20" t="s">
        <v>22</v>
      </c>
      <c r="F68" s="4"/>
      <c r="G68" s="17"/>
      <c r="H68" s="17"/>
      <c r="I68" s="17"/>
      <c r="J68" s="17"/>
      <c r="K68" s="17"/>
      <c r="L68" s="200"/>
    </row>
    <row r="69" spans="1:12" s="3" customFormat="1" hidden="1" x14ac:dyDescent="0.35">
      <c r="B69" s="2" t="s">
        <v>29</v>
      </c>
      <c r="C69" s="8" t="s">
        <v>24</v>
      </c>
      <c r="D69" s="8" t="s">
        <v>25</v>
      </c>
      <c r="E69" s="8" t="s">
        <v>26</v>
      </c>
      <c r="F69" s="8" t="s">
        <v>27</v>
      </c>
      <c r="G69" s="8" t="s">
        <v>28</v>
      </c>
      <c r="H69" s="17"/>
      <c r="I69" s="17"/>
      <c r="J69" s="17"/>
      <c r="K69" s="17"/>
      <c r="L69" s="200"/>
    </row>
    <row r="70" spans="1:12" s="3" customFormat="1" hidden="1" x14ac:dyDescent="0.35">
      <c r="B70" s="4"/>
      <c r="C70" s="14"/>
      <c r="D70" s="22">
        <f>C70*E70</f>
        <v>0</v>
      </c>
      <c r="E70" s="14">
        <v>4.74</v>
      </c>
      <c r="F70" s="21">
        <v>4.71</v>
      </c>
      <c r="G70" s="106">
        <f>(E70-F70)/F70</f>
        <v>6.3694267515924099E-3</v>
      </c>
      <c r="H70" s="17"/>
      <c r="I70" s="17"/>
      <c r="J70" s="17"/>
      <c r="K70" s="17"/>
      <c r="L70" s="200"/>
    </row>
    <row r="71" spans="1:12" s="3" customFormat="1" hidden="1" x14ac:dyDescent="0.35">
      <c r="A71" s="4"/>
      <c r="H71" s="4"/>
      <c r="I71" s="5"/>
      <c r="J71" s="4"/>
      <c r="K71" s="4"/>
      <c r="L71" s="199"/>
    </row>
    <row r="72" spans="1:12" s="3" customFormat="1" hidden="1" x14ac:dyDescent="0.35">
      <c r="A72" s="13"/>
      <c r="B72" s="105" t="s">
        <v>231</v>
      </c>
      <c r="C72" s="112" t="str">
        <f>D27</f>
        <v>DEBDA0319-T1-BC.4</v>
      </c>
      <c r="D72" s="118" t="s">
        <v>225</v>
      </c>
      <c r="E72" s="18" t="s">
        <v>232</v>
      </c>
      <c r="F72" s="17"/>
      <c r="G72" s="17"/>
      <c r="H72" s="17"/>
      <c r="I72" s="17"/>
      <c r="J72" s="17"/>
      <c r="K72" s="17"/>
      <c r="L72" s="200"/>
    </row>
    <row r="73" spans="1:12" s="3" customFormat="1" hidden="1" x14ac:dyDescent="0.35">
      <c r="A73" s="13"/>
      <c r="B73" s="18"/>
      <c r="C73" s="18"/>
      <c r="D73" s="18"/>
      <c r="E73" s="18"/>
      <c r="F73" s="17"/>
      <c r="G73" s="17"/>
      <c r="H73" s="17"/>
      <c r="I73" s="17"/>
      <c r="J73" s="17"/>
      <c r="K73" s="17"/>
      <c r="L73" s="200"/>
    </row>
    <row r="74" spans="1:12" s="3" customFormat="1" hidden="1" x14ac:dyDescent="0.35">
      <c r="A74" s="13"/>
      <c r="B74" s="20" t="s">
        <v>22</v>
      </c>
      <c r="F74" s="4"/>
      <c r="G74" s="17"/>
      <c r="H74" s="17"/>
      <c r="I74" s="17"/>
      <c r="J74" s="17"/>
      <c r="K74" s="17"/>
      <c r="L74" s="200"/>
    </row>
    <row r="75" spans="1:12" s="3" customFormat="1" hidden="1" x14ac:dyDescent="0.35">
      <c r="B75" s="2" t="s">
        <v>29</v>
      </c>
      <c r="C75" s="8" t="s">
        <v>24</v>
      </c>
      <c r="D75" s="8" t="s">
        <v>25</v>
      </c>
      <c r="E75" s="8" t="s">
        <v>26</v>
      </c>
      <c r="F75" s="8" t="s">
        <v>27</v>
      </c>
      <c r="G75" s="8" t="s">
        <v>28</v>
      </c>
      <c r="H75" s="17"/>
      <c r="I75" s="17"/>
      <c r="J75" s="17"/>
      <c r="K75" s="17"/>
      <c r="L75" s="200"/>
    </row>
    <row r="76" spans="1:12" s="3" customFormat="1" hidden="1" x14ac:dyDescent="0.35">
      <c r="B76" s="4"/>
      <c r="C76" s="14"/>
      <c r="D76" s="22">
        <f>C76*E76</f>
        <v>0</v>
      </c>
      <c r="E76" s="14">
        <v>4.74</v>
      </c>
      <c r="F76" s="21">
        <v>4.71</v>
      </c>
      <c r="G76" s="106">
        <f>(E76-F76)/F76</f>
        <v>6.3694267515924099E-3</v>
      </c>
      <c r="H76" s="17"/>
      <c r="I76" s="17"/>
      <c r="J76" s="17"/>
      <c r="K76" s="17"/>
      <c r="L76" s="200"/>
    </row>
    <row r="77" spans="1:12" s="3" customFormat="1" x14ac:dyDescent="0.35">
      <c r="A77" s="4"/>
      <c r="H77" s="4"/>
      <c r="I77" s="5"/>
      <c r="J77" s="4"/>
      <c r="K77" s="4"/>
      <c r="L77" s="199"/>
    </row>
    <row r="78" spans="1:12" s="3" customFormat="1" x14ac:dyDescent="0.35">
      <c r="A78" s="4"/>
      <c r="H78" s="4"/>
      <c r="I78" s="5"/>
      <c r="J78" s="4"/>
      <c r="K78" s="4"/>
      <c r="L78" s="199"/>
    </row>
    <row r="79" spans="1:12" s="115" customFormat="1" x14ac:dyDescent="0.35">
      <c r="B79" s="129" t="s">
        <v>17</v>
      </c>
      <c r="C79" s="1"/>
      <c r="D79" s="1"/>
      <c r="E79" s="1"/>
      <c r="F79" s="1"/>
      <c r="G79" s="116"/>
      <c r="H79" s="116"/>
      <c r="I79" s="116"/>
      <c r="J79" s="116"/>
      <c r="K79" s="116"/>
      <c r="L79" s="201"/>
    </row>
    <row r="80" spans="1:12" s="115" customFormat="1" x14ac:dyDescent="0.35">
      <c r="B80" s="129" t="s">
        <v>18</v>
      </c>
      <c r="C80" s="117" t="s">
        <v>19</v>
      </c>
      <c r="D80" s="118" t="s">
        <v>15</v>
      </c>
      <c r="E80" s="119" t="s">
        <v>20</v>
      </c>
      <c r="F80" s="1"/>
      <c r="G80" s="116"/>
      <c r="H80" s="116"/>
      <c r="I80" s="116"/>
      <c r="J80" s="116"/>
      <c r="K80" s="116"/>
      <c r="L80" s="201"/>
    </row>
    <row r="81" spans="1:12" s="115" customFormat="1" x14ac:dyDescent="0.35">
      <c r="B81" s="105" t="s">
        <v>16</v>
      </c>
      <c r="C81" s="112" t="s">
        <v>166</v>
      </c>
      <c r="D81" s="1"/>
      <c r="E81" s="1"/>
      <c r="F81" s="1"/>
      <c r="G81" s="116"/>
      <c r="H81" s="116"/>
      <c r="I81" s="116"/>
      <c r="J81" s="116"/>
      <c r="K81" s="116"/>
      <c r="L81" s="201"/>
    </row>
    <row r="82" spans="1:12" s="115" customFormat="1" x14ac:dyDescent="0.35">
      <c r="C82" s="1"/>
      <c r="D82" s="1"/>
      <c r="E82" s="1"/>
      <c r="F82" s="1"/>
      <c r="G82" s="116"/>
      <c r="H82" s="116"/>
      <c r="I82" s="116"/>
      <c r="J82" s="116"/>
      <c r="K82" s="116"/>
      <c r="L82" s="201"/>
    </row>
    <row r="83" spans="1:12" s="115" customFormat="1" x14ac:dyDescent="0.35">
      <c r="A83" s="1"/>
      <c r="B83" s="1"/>
      <c r="C83" s="120" t="s">
        <v>21</v>
      </c>
      <c r="D83" s="120" t="s">
        <v>22</v>
      </c>
      <c r="E83" s="1"/>
      <c r="F83" s="1"/>
      <c r="G83" s="121"/>
      <c r="H83" s="1"/>
      <c r="I83" s="121"/>
      <c r="J83" s="1"/>
      <c r="K83" s="1"/>
      <c r="L83" s="197"/>
    </row>
    <row r="84" spans="1:12" s="115" customFormat="1" x14ac:dyDescent="0.35">
      <c r="A84" s="1"/>
      <c r="B84" s="1"/>
      <c r="C84" s="1"/>
      <c r="D84" s="1"/>
      <c r="E84" s="1"/>
      <c r="F84" s="1"/>
      <c r="G84" s="121"/>
      <c r="H84" s="1"/>
      <c r="I84" s="121"/>
      <c r="J84" s="1"/>
      <c r="K84" s="1"/>
      <c r="L84" s="197"/>
    </row>
    <row r="85" spans="1:12" s="115" customFormat="1" x14ac:dyDescent="0.35">
      <c r="A85" s="1"/>
      <c r="B85" s="122" t="s">
        <v>23</v>
      </c>
      <c r="C85" s="123" t="s">
        <v>24</v>
      </c>
      <c r="D85" s="123" t="s">
        <v>25</v>
      </c>
      <c r="E85" s="123" t="s">
        <v>26</v>
      </c>
      <c r="F85" s="123" t="s">
        <v>27</v>
      </c>
      <c r="G85" s="123" t="s">
        <v>28</v>
      </c>
      <c r="H85" s="124" t="s">
        <v>165</v>
      </c>
      <c r="I85" s="121"/>
      <c r="J85" s="1"/>
      <c r="K85" s="1"/>
      <c r="L85" s="197"/>
    </row>
    <row r="86" spans="1:12" s="115" customFormat="1" x14ac:dyDescent="0.35">
      <c r="A86" s="1"/>
      <c r="B86" s="1"/>
      <c r="C86" s="94"/>
      <c r="D86" s="94"/>
      <c r="E86" s="125"/>
      <c r="F86" s="126"/>
      <c r="G86" s="127"/>
      <c r="H86" s="1"/>
      <c r="I86" s="121"/>
      <c r="J86" s="1"/>
      <c r="K86" s="1"/>
      <c r="L86" s="197"/>
    </row>
    <row r="87" spans="1:12" s="115" customFormat="1" x14ac:dyDescent="0.35">
      <c r="A87" s="1"/>
      <c r="B87" s="1"/>
      <c r="C87" s="1"/>
      <c r="D87" s="1"/>
      <c r="E87" s="1"/>
      <c r="F87" s="1"/>
      <c r="G87" s="121"/>
      <c r="H87" s="1"/>
      <c r="I87" s="121"/>
      <c r="J87" s="1"/>
      <c r="K87" s="1"/>
      <c r="L87" s="197"/>
    </row>
    <row r="88" spans="1:12" s="115" customFormat="1" x14ac:dyDescent="0.35">
      <c r="A88" s="1"/>
      <c r="B88" s="122" t="s">
        <v>29</v>
      </c>
      <c r="C88" s="123" t="s">
        <v>24</v>
      </c>
      <c r="D88" s="123" t="s">
        <v>25</v>
      </c>
      <c r="E88" s="123" t="s">
        <v>26</v>
      </c>
      <c r="F88" s="123" t="s">
        <v>27</v>
      </c>
      <c r="G88" s="123" t="s">
        <v>28</v>
      </c>
      <c r="H88" s="1"/>
      <c r="I88" s="121"/>
      <c r="J88" s="1"/>
      <c r="K88" s="1"/>
      <c r="L88" s="197"/>
    </row>
    <row r="89" spans="1:12" s="115" customFormat="1" x14ac:dyDescent="0.35">
      <c r="A89" s="1"/>
      <c r="B89" s="1"/>
      <c r="C89" s="94"/>
      <c r="D89" s="128"/>
      <c r="E89" s="94"/>
      <c r="F89" s="126"/>
      <c r="G89" s="127"/>
      <c r="H89" s="1"/>
      <c r="I89" s="121"/>
      <c r="J89" s="1"/>
      <c r="K89" s="1"/>
      <c r="L89" s="197"/>
    </row>
    <row r="90" spans="1:12" s="3" customFormat="1" x14ac:dyDescent="0.35">
      <c r="A90" s="4"/>
      <c r="H90" s="4"/>
      <c r="I90" s="5"/>
      <c r="J90" s="4"/>
      <c r="K90" s="4"/>
      <c r="L90" s="199"/>
    </row>
    <row r="91" spans="1:12" s="3" customFormat="1" x14ac:dyDescent="0.35">
      <c r="A91" s="4"/>
      <c r="H91" s="4"/>
      <c r="I91" s="5"/>
      <c r="J91" s="4"/>
      <c r="K91" s="4"/>
      <c r="L91" s="199"/>
    </row>
    <row r="92" spans="1:12" s="3" customFormat="1" x14ac:dyDescent="0.35">
      <c r="A92" s="12">
        <v>3</v>
      </c>
      <c r="B92" s="2" t="s">
        <v>30</v>
      </c>
      <c r="C92" s="4"/>
      <c r="D92" s="4"/>
      <c r="E92" s="4"/>
      <c r="F92" s="4"/>
      <c r="G92" s="5"/>
      <c r="H92" s="4"/>
      <c r="I92" s="5"/>
      <c r="J92" s="4"/>
      <c r="K92" s="4"/>
      <c r="L92" s="199"/>
    </row>
    <row r="93" spans="1:12" s="3" customFormat="1" x14ac:dyDescent="0.35">
      <c r="A93" s="12"/>
      <c r="B93" s="2" t="s">
        <v>31</v>
      </c>
      <c r="C93" s="4"/>
      <c r="D93" s="4"/>
      <c r="E93" s="4"/>
      <c r="F93" s="4"/>
      <c r="G93" s="5"/>
      <c r="H93" s="4"/>
      <c r="I93" s="5"/>
      <c r="J93" s="4"/>
      <c r="K93" s="4"/>
      <c r="L93" s="199"/>
    </row>
    <row r="94" spans="1:12" s="3" customFormat="1" x14ac:dyDescent="0.35">
      <c r="A94" s="12"/>
      <c r="B94" s="23" t="s">
        <v>32</v>
      </c>
      <c r="C94" s="19" t="s">
        <v>19</v>
      </c>
      <c r="D94" s="4"/>
      <c r="E94" s="4"/>
      <c r="F94" s="4"/>
      <c r="G94" s="5"/>
      <c r="H94" s="4"/>
      <c r="I94" s="5"/>
      <c r="J94" s="4"/>
      <c r="K94" s="4"/>
      <c r="L94" s="199"/>
    </row>
    <row r="95" spans="1:12" s="3" customFormat="1" x14ac:dyDescent="0.35">
      <c r="A95" s="13"/>
      <c r="B95" s="8" t="s">
        <v>33</v>
      </c>
      <c r="C95" s="8" t="s">
        <v>34</v>
      </c>
      <c r="D95" s="8" t="s">
        <v>35</v>
      </c>
      <c r="E95" s="8" t="s">
        <v>36</v>
      </c>
      <c r="F95" s="8" t="s">
        <v>26</v>
      </c>
      <c r="G95" s="8" t="s">
        <v>37</v>
      </c>
      <c r="H95" s="8" t="s">
        <v>38</v>
      </c>
      <c r="I95" s="5"/>
      <c r="J95" s="4"/>
      <c r="K95" s="4"/>
      <c r="L95" s="199"/>
    </row>
    <row r="96" spans="1:12" s="3" customFormat="1" x14ac:dyDescent="0.35">
      <c r="A96" s="13"/>
      <c r="B96" s="12">
        <v>1</v>
      </c>
      <c r="C96" s="15"/>
      <c r="D96" s="15"/>
      <c r="E96" s="15"/>
      <c r="F96" s="24"/>
      <c r="G96" s="114" t="str">
        <f>C94&amp;"-"&amp;"KW 2"</f>
        <v>(Select Master Product)-KW 2</v>
      </c>
      <c r="H96" s="14"/>
      <c r="I96" s="5"/>
      <c r="J96" s="4"/>
      <c r="K96" s="4"/>
      <c r="L96" s="199"/>
    </row>
    <row r="97" spans="1:12" s="3" customFormat="1" x14ac:dyDescent="0.35">
      <c r="A97" s="13"/>
      <c r="B97" s="12">
        <v>2</v>
      </c>
      <c r="C97" s="14"/>
      <c r="D97" s="14"/>
      <c r="E97" s="14"/>
      <c r="F97" s="24"/>
      <c r="G97" s="25"/>
      <c r="H97" s="14"/>
      <c r="I97" s="5"/>
      <c r="J97" s="4"/>
      <c r="K97" s="4"/>
      <c r="L97" s="199"/>
    </row>
    <row r="98" spans="1:12" s="3" customFormat="1" x14ac:dyDescent="0.35">
      <c r="A98" s="13"/>
      <c r="B98" s="4"/>
      <c r="C98" s="4"/>
      <c r="D98" s="4"/>
      <c r="E98" s="4"/>
      <c r="F98" s="4"/>
      <c r="G98" s="5"/>
      <c r="H98" s="4"/>
      <c r="I98" s="5"/>
      <c r="J98" s="4"/>
      <c r="K98" s="4"/>
      <c r="L98" s="199"/>
    </row>
    <row r="99" spans="1:12" s="3" customFormat="1" x14ac:dyDescent="0.35">
      <c r="A99" s="12"/>
      <c r="B99" s="2" t="s">
        <v>39</v>
      </c>
      <c r="C99" s="4"/>
      <c r="D99" s="4"/>
      <c r="E99" s="4"/>
      <c r="F99" s="4"/>
      <c r="G99" s="5"/>
      <c r="H99" s="4"/>
      <c r="I99" s="5"/>
      <c r="J99" s="4"/>
      <c r="K99" s="4"/>
      <c r="L99" s="199"/>
    </row>
    <row r="100" spans="1:12" s="3" customFormat="1" x14ac:dyDescent="0.35">
      <c r="A100" s="12"/>
      <c r="B100" s="23" t="s">
        <v>32</v>
      </c>
      <c r="C100" s="19" t="s">
        <v>19</v>
      </c>
      <c r="D100" s="4"/>
      <c r="E100" s="4"/>
      <c r="F100" s="4"/>
      <c r="G100" s="5"/>
      <c r="H100" s="4"/>
      <c r="I100" s="5"/>
      <c r="J100" s="4"/>
      <c r="K100" s="4"/>
      <c r="L100" s="199"/>
    </row>
    <row r="101" spans="1:12" s="3" customFormat="1" x14ac:dyDescent="0.35">
      <c r="A101" s="13"/>
      <c r="B101" s="8" t="s">
        <v>33</v>
      </c>
      <c r="C101" s="8" t="s">
        <v>34</v>
      </c>
      <c r="D101" s="8" t="s">
        <v>35</v>
      </c>
      <c r="E101" s="8" t="s">
        <v>36</v>
      </c>
      <c r="F101" s="8" t="s">
        <v>26</v>
      </c>
      <c r="G101" s="8" t="s">
        <v>37</v>
      </c>
      <c r="H101" s="8" t="s">
        <v>38</v>
      </c>
      <c r="I101" s="26" t="s">
        <v>40</v>
      </c>
      <c r="J101" s="4"/>
      <c r="K101" s="4"/>
      <c r="L101" s="199"/>
    </row>
    <row r="102" spans="1:12" s="3" customFormat="1" x14ac:dyDescent="0.35">
      <c r="A102" s="13"/>
      <c r="B102" s="12">
        <v>1</v>
      </c>
      <c r="C102" s="14"/>
      <c r="D102" s="14"/>
      <c r="E102" s="14"/>
      <c r="F102" s="24"/>
      <c r="G102" s="25"/>
      <c r="H102" s="14"/>
      <c r="I102" s="5"/>
      <c r="J102" s="4"/>
      <c r="K102" s="4"/>
      <c r="L102" s="199"/>
    </row>
    <row r="103" spans="1:12" s="3" customFormat="1" x14ac:dyDescent="0.35">
      <c r="A103" s="13"/>
      <c r="B103" s="12">
        <v>2</v>
      </c>
      <c r="C103" s="14"/>
      <c r="D103" s="14"/>
      <c r="E103" s="14"/>
      <c r="F103" s="24"/>
      <c r="G103" s="25"/>
      <c r="H103" s="14"/>
      <c r="I103" s="5"/>
      <c r="J103" s="4"/>
      <c r="K103" s="4"/>
      <c r="L103" s="199"/>
    </row>
    <row r="104" spans="1:12" s="3" customFormat="1" x14ac:dyDescent="0.35">
      <c r="A104" s="13"/>
      <c r="B104" s="4"/>
      <c r="C104" s="4"/>
      <c r="D104" s="4"/>
      <c r="E104" s="4"/>
      <c r="F104" s="4"/>
      <c r="G104" s="5"/>
      <c r="H104" s="4"/>
      <c r="I104" s="5"/>
      <c r="J104" s="4"/>
      <c r="K104" s="4"/>
      <c r="L104" s="199"/>
    </row>
    <row r="105" spans="1:12" s="3" customFormat="1" x14ac:dyDescent="0.35">
      <c r="A105" s="12">
        <v>4</v>
      </c>
      <c r="B105" s="2" t="s">
        <v>41</v>
      </c>
      <c r="C105" s="4"/>
      <c r="D105" s="4"/>
      <c r="E105" s="4"/>
      <c r="F105" s="4"/>
      <c r="G105" s="5"/>
      <c r="H105" s="4"/>
      <c r="I105" s="5"/>
      <c r="J105" s="4"/>
      <c r="K105" s="4"/>
      <c r="L105" s="199"/>
    </row>
    <row r="106" spans="1:12" s="3" customFormat="1" x14ac:dyDescent="0.35">
      <c r="A106" s="12"/>
      <c r="B106" s="7" t="s">
        <v>233</v>
      </c>
      <c r="C106" s="98" t="str">
        <f>D27</f>
        <v>DEBDA0319-T1-BC.4</v>
      </c>
      <c r="D106" s="4"/>
      <c r="E106" s="4"/>
      <c r="F106" s="4"/>
      <c r="G106" s="5"/>
      <c r="H106" s="4"/>
      <c r="I106" s="5"/>
      <c r="J106" s="4"/>
      <c r="K106" s="4"/>
      <c r="L106" s="199"/>
    </row>
    <row r="107" spans="1:12" s="3" customFormat="1" x14ac:dyDescent="0.35">
      <c r="A107" s="13"/>
      <c r="B107" s="7" t="s">
        <v>235</v>
      </c>
      <c r="C107" s="91">
        <v>264.72000000000003</v>
      </c>
      <c r="D107" s="27" t="s">
        <v>234</v>
      </c>
      <c r="E107" s="166"/>
      <c r="F107" s="4"/>
      <c r="G107" s="4"/>
      <c r="H107" s="166"/>
      <c r="I107" s="5"/>
      <c r="J107" s="4"/>
      <c r="K107" s="4"/>
      <c r="L107" s="199"/>
    </row>
    <row r="108" spans="1:12" s="3" customFormat="1" x14ac:dyDescent="0.35">
      <c r="A108" s="13"/>
      <c r="B108" s="7"/>
      <c r="C108" s="7"/>
      <c r="D108" s="27"/>
      <c r="E108" s="4"/>
      <c r="F108" s="4"/>
      <c r="G108" s="4"/>
      <c r="H108" s="4"/>
      <c r="I108" s="5"/>
      <c r="J108" s="4"/>
      <c r="K108" s="4"/>
      <c r="L108" s="199"/>
    </row>
    <row r="109" spans="1:12" s="3" customFormat="1" x14ac:dyDescent="0.35">
      <c r="A109" s="13"/>
      <c r="B109" s="4"/>
      <c r="C109" s="4"/>
      <c r="D109" s="4"/>
      <c r="E109" s="4"/>
      <c r="F109" s="4"/>
      <c r="G109" s="5"/>
      <c r="H109" s="4"/>
      <c r="I109" s="5"/>
      <c r="J109" s="4"/>
      <c r="K109" s="4"/>
      <c r="L109" s="199"/>
    </row>
    <row r="110" spans="1:12" s="3" customFormat="1" x14ac:dyDescent="0.35">
      <c r="A110" s="12">
        <v>5</v>
      </c>
      <c r="B110" s="2" t="s">
        <v>42</v>
      </c>
      <c r="C110" s="4"/>
      <c r="D110" s="4"/>
      <c r="E110" s="4"/>
      <c r="F110" s="4"/>
      <c r="G110" s="5"/>
      <c r="H110" s="4"/>
      <c r="I110" s="5"/>
      <c r="J110" s="4"/>
      <c r="K110" s="4"/>
      <c r="L110" s="199"/>
    </row>
    <row r="111" spans="1:12" s="3" customFormat="1" x14ac:dyDescent="0.35">
      <c r="A111" s="13"/>
      <c r="B111" s="7" t="s">
        <v>236</v>
      </c>
      <c r="C111" s="98" t="s">
        <v>237</v>
      </c>
      <c r="D111" s="4"/>
      <c r="E111" s="4"/>
      <c r="F111" s="4"/>
      <c r="G111" s="5"/>
      <c r="H111" s="4"/>
      <c r="I111" s="5"/>
      <c r="J111" s="4"/>
      <c r="K111" s="4"/>
      <c r="L111" s="199"/>
    </row>
    <row r="112" spans="1:12" s="3" customFormat="1" x14ac:dyDescent="0.35">
      <c r="A112" s="13"/>
      <c r="B112" s="7" t="s">
        <v>238</v>
      </c>
      <c r="C112" s="91"/>
      <c r="D112" s="27" t="s">
        <v>239</v>
      </c>
      <c r="E112" s="4"/>
      <c r="F112" s="4"/>
      <c r="G112" s="5"/>
      <c r="H112" s="4"/>
      <c r="I112" s="5"/>
      <c r="J112" s="4"/>
      <c r="K112" s="4"/>
      <c r="L112" s="199"/>
    </row>
    <row r="113" spans="1:12" s="3" customFormat="1" x14ac:dyDescent="0.35">
      <c r="A113" s="13"/>
      <c r="B113" s="4"/>
      <c r="C113" s="4"/>
      <c r="D113" s="80"/>
      <c r="E113" s="4"/>
      <c r="F113" s="4"/>
      <c r="G113" s="5"/>
      <c r="H113" s="4"/>
      <c r="I113" s="5"/>
      <c r="J113" s="4"/>
      <c r="K113" s="4"/>
      <c r="L113" s="199"/>
    </row>
    <row r="114" spans="1:12" s="3" customFormat="1" x14ac:dyDescent="0.35">
      <c r="A114" s="13"/>
      <c r="B114" s="4"/>
      <c r="C114" s="4"/>
      <c r="D114" s="80"/>
      <c r="E114" s="4"/>
      <c r="F114" s="4"/>
      <c r="G114" s="5"/>
      <c r="H114" s="4"/>
      <c r="I114" s="5"/>
      <c r="J114" s="4"/>
      <c r="K114" s="4"/>
      <c r="L114" s="199"/>
    </row>
    <row r="115" spans="1:12" s="3" customFormat="1" x14ac:dyDescent="0.35">
      <c r="A115" s="12">
        <v>6</v>
      </c>
      <c r="B115" s="2" t="s">
        <v>161</v>
      </c>
      <c r="C115" s="4"/>
      <c r="D115" s="4"/>
      <c r="E115" s="4"/>
      <c r="F115" s="4"/>
      <c r="G115" s="5"/>
      <c r="H115" s="4"/>
      <c r="I115" s="5"/>
      <c r="J115" s="4"/>
      <c r="K115" s="4"/>
      <c r="L115" s="199"/>
    </row>
    <row r="116" spans="1:12" s="3" customFormat="1" x14ac:dyDescent="0.35">
      <c r="A116" s="13"/>
      <c r="C116" s="8" t="s">
        <v>43</v>
      </c>
      <c r="D116" s="8" t="s">
        <v>52</v>
      </c>
      <c r="E116" s="8" t="s">
        <v>48</v>
      </c>
      <c r="F116" s="4"/>
      <c r="G116" s="5"/>
      <c r="H116" s="4"/>
      <c r="I116" s="5"/>
      <c r="J116" s="4"/>
      <c r="K116" s="4"/>
      <c r="L116" s="199"/>
    </row>
    <row r="117" spans="1:12" s="3" customFormat="1" x14ac:dyDescent="0.35">
      <c r="A117" s="13"/>
      <c r="C117" s="15"/>
      <c r="D117" s="15">
        <v>0</v>
      </c>
      <c r="E117" s="15">
        <v>0</v>
      </c>
      <c r="F117" s="4"/>
      <c r="G117" s="5"/>
      <c r="H117" s="4"/>
      <c r="I117" s="5"/>
      <c r="J117" s="4"/>
      <c r="K117" s="4"/>
      <c r="L117" s="199"/>
    </row>
    <row r="118" spans="1:12" s="3" customFormat="1" x14ac:dyDescent="0.35">
      <c r="A118" s="13"/>
      <c r="B118" s="4"/>
      <c r="C118" s="4"/>
      <c r="D118" s="4"/>
      <c r="E118" s="4"/>
      <c r="F118" s="4"/>
      <c r="G118" s="5"/>
      <c r="H118" s="4"/>
      <c r="I118" s="5"/>
      <c r="J118" s="4"/>
      <c r="K118" s="4"/>
      <c r="L118" s="199"/>
    </row>
    <row r="119" spans="1:12" s="3" customFormat="1" x14ac:dyDescent="0.35">
      <c r="A119" s="12"/>
      <c r="C119" s="257" t="s">
        <v>162</v>
      </c>
      <c r="D119" s="257"/>
      <c r="E119" s="257"/>
      <c r="F119" s="4"/>
      <c r="G119" s="5"/>
      <c r="H119" s="4"/>
      <c r="I119" s="5"/>
      <c r="J119" s="4"/>
      <c r="K119" s="4"/>
      <c r="L119" s="199"/>
    </row>
    <row r="120" spans="1:12" s="3" customFormat="1" x14ac:dyDescent="0.35">
      <c r="A120" s="13"/>
      <c r="B120" s="4"/>
      <c r="C120" s="8" t="s">
        <v>44</v>
      </c>
      <c r="D120" s="8" t="s">
        <v>47</v>
      </c>
      <c r="E120" s="8" t="s">
        <v>38</v>
      </c>
      <c r="F120" s="4"/>
      <c r="G120" s="5"/>
      <c r="H120" s="4"/>
      <c r="I120" s="5"/>
      <c r="J120" s="4"/>
      <c r="K120" s="4"/>
      <c r="L120" s="199"/>
    </row>
    <row r="121" spans="1:12" s="3" customFormat="1" x14ac:dyDescent="0.35">
      <c r="A121" s="13"/>
      <c r="B121" s="7" t="s">
        <v>45</v>
      </c>
      <c r="C121" s="14">
        <v>0</v>
      </c>
      <c r="D121" s="14">
        <v>0</v>
      </c>
      <c r="E121" s="14"/>
      <c r="F121" s="4"/>
      <c r="G121" s="5"/>
      <c r="H121" s="4"/>
      <c r="I121" s="5"/>
      <c r="J121" s="4"/>
      <c r="K121" s="4"/>
      <c r="L121" s="199"/>
    </row>
    <row r="122" spans="1:12" s="3" customFormat="1" x14ac:dyDescent="0.35">
      <c r="A122" s="13"/>
      <c r="B122" s="7" t="s">
        <v>46</v>
      </c>
      <c r="C122" s="14">
        <v>0</v>
      </c>
      <c r="D122" s="14">
        <v>0</v>
      </c>
      <c r="E122" s="14"/>
      <c r="F122" s="4"/>
      <c r="G122" s="5"/>
      <c r="H122" s="4"/>
      <c r="I122" s="5"/>
      <c r="J122" s="4"/>
      <c r="K122" s="4"/>
      <c r="L122" s="199"/>
    </row>
    <row r="123" spans="1:12" s="3" customFormat="1" x14ac:dyDescent="0.35">
      <c r="A123" s="13"/>
      <c r="B123" s="4"/>
      <c r="C123" s="4"/>
      <c r="D123" s="4"/>
      <c r="E123" s="4"/>
      <c r="F123" s="4"/>
      <c r="G123" s="5"/>
      <c r="H123" s="4"/>
      <c r="I123" s="5"/>
      <c r="J123" s="4"/>
      <c r="K123" s="4"/>
      <c r="L123" s="199"/>
    </row>
    <row r="124" spans="1:12" s="3" customFormat="1" x14ac:dyDescent="0.35">
      <c r="A124" s="12"/>
      <c r="B124" s="7" t="s">
        <v>163</v>
      </c>
      <c r="C124" s="113">
        <f>SUM(C117:E117,C121:D122)</f>
        <v>0</v>
      </c>
      <c r="D124" s="4"/>
      <c r="E124" s="4"/>
      <c r="F124" s="4"/>
      <c r="G124" s="5"/>
      <c r="H124" s="4"/>
      <c r="I124" s="5"/>
      <c r="J124" s="4"/>
      <c r="K124" s="4"/>
      <c r="L124" s="199"/>
    </row>
    <row r="125" spans="1:12" s="3" customFormat="1" x14ac:dyDescent="0.35">
      <c r="A125" s="13"/>
      <c r="E125" s="4"/>
      <c r="F125" s="4"/>
      <c r="G125" s="5"/>
      <c r="H125" s="4"/>
      <c r="I125" s="5"/>
      <c r="J125" s="4"/>
      <c r="K125" s="4"/>
      <c r="L125" s="199"/>
    </row>
    <row r="126" spans="1:12" s="3" customFormat="1" x14ac:dyDescent="0.35">
      <c r="A126" s="13"/>
      <c r="B126" s="4"/>
      <c r="C126" s="4"/>
      <c r="D126" s="4"/>
      <c r="E126" s="4"/>
      <c r="F126" s="4"/>
      <c r="G126" s="5"/>
      <c r="H126" s="4"/>
      <c r="I126" s="5"/>
      <c r="J126" s="4"/>
      <c r="K126" s="4"/>
      <c r="L126" s="199"/>
    </row>
    <row r="127" spans="1:12" s="3" customFormat="1" x14ac:dyDescent="0.35">
      <c r="A127" s="12">
        <v>7</v>
      </c>
      <c r="B127" s="2" t="s">
        <v>123</v>
      </c>
      <c r="C127" s="4"/>
      <c r="D127" s="28"/>
      <c r="E127" s="4"/>
      <c r="F127" s="4"/>
      <c r="G127" s="5"/>
      <c r="H127" s="4"/>
      <c r="I127" s="5"/>
      <c r="J127" s="4"/>
      <c r="K127" s="4"/>
      <c r="L127" s="199"/>
    </row>
    <row r="128" spans="1:12" s="3" customFormat="1" ht="28.5" x14ac:dyDescent="0.35">
      <c r="A128" s="13"/>
      <c r="B128" s="29" t="s">
        <v>49</v>
      </c>
      <c r="C128" s="29" t="s">
        <v>50</v>
      </c>
      <c r="D128" s="242" t="s">
        <v>164</v>
      </c>
      <c r="E128" s="243"/>
      <c r="F128" s="243"/>
      <c r="G128" s="243"/>
      <c r="H128" s="30" t="s">
        <v>53</v>
      </c>
      <c r="I128" s="29" t="s">
        <v>54</v>
      </c>
      <c r="J128" s="29" t="s">
        <v>55</v>
      </c>
      <c r="K128" s="29" t="s">
        <v>56</v>
      </c>
      <c r="L128" s="202" t="s">
        <v>57</v>
      </c>
    </row>
    <row r="129" spans="1:33" s="3" customFormat="1" x14ac:dyDescent="0.35">
      <c r="A129" s="13"/>
      <c r="B129" s="31">
        <f>SUM(D58,D64,D70,D76)</f>
        <v>1644.78</v>
      </c>
      <c r="C129" s="31">
        <f>SUM(E96:E97,E102:E103)</f>
        <v>0</v>
      </c>
      <c r="D129" s="244">
        <f>C124</f>
        <v>0</v>
      </c>
      <c r="E129" s="245"/>
      <c r="F129" s="245"/>
      <c r="G129" s="246"/>
      <c r="H129" s="31">
        <f>C107</f>
        <v>264.72000000000003</v>
      </c>
      <c r="I129" s="32">
        <f>SUM(B129:H129)</f>
        <v>1909.5</v>
      </c>
      <c r="J129" s="33">
        <f>SUM(D46:D49)</f>
        <v>1950</v>
      </c>
      <c r="K129" s="32">
        <f>J129-I129</f>
        <v>40.5</v>
      </c>
      <c r="L129" s="236">
        <f>K129/J129</f>
        <v>2.0769230769230769E-2</v>
      </c>
      <c r="M129" s="85" t="s">
        <v>309</v>
      </c>
    </row>
    <row r="130" spans="1:33" s="3" customFormat="1" x14ac:dyDescent="0.35">
      <c r="A130" s="13"/>
      <c r="B130" s="4"/>
      <c r="C130" s="4"/>
      <c r="D130" s="4"/>
      <c r="E130" s="4"/>
      <c r="F130" s="4"/>
      <c r="G130" s="5"/>
      <c r="H130" s="5"/>
      <c r="I130" s="4"/>
      <c r="J130" s="4"/>
      <c r="K130" s="4"/>
      <c r="L130" s="198"/>
      <c r="M130" s="86" t="s">
        <v>67</v>
      </c>
    </row>
    <row r="131" spans="1:33" s="3" customFormat="1" x14ac:dyDescent="0.35">
      <c r="A131" s="13"/>
      <c r="B131" s="4"/>
      <c r="C131" s="4"/>
      <c r="D131" s="4"/>
      <c r="E131" s="4"/>
      <c r="F131" s="4"/>
      <c r="G131" s="5"/>
      <c r="H131" s="5"/>
      <c r="I131" s="4"/>
      <c r="J131" s="4"/>
      <c r="K131" s="4"/>
      <c r="L131" s="198"/>
      <c r="M131" s="86"/>
    </row>
    <row r="132" spans="1:33" s="3" customFormat="1" hidden="1" x14ac:dyDescent="0.35">
      <c r="A132" s="12">
        <v>8</v>
      </c>
      <c r="B132" s="65" t="s">
        <v>124</v>
      </c>
      <c r="D132" s="92"/>
      <c r="E132" s="92"/>
      <c r="F132" s="92"/>
      <c r="G132" s="92"/>
      <c r="H132" s="300" t="s">
        <v>151</v>
      </c>
      <c r="I132" s="301"/>
      <c r="J132" s="301"/>
      <c r="K132" s="92"/>
      <c r="L132" s="203"/>
      <c r="M132" s="92"/>
    </row>
    <row r="133" spans="1:33" s="3" customFormat="1" ht="26" hidden="1" x14ac:dyDescent="0.35">
      <c r="A133" s="8" t="s">
        <v>125</v>
      </c>
      <c r="B133" s="8" t="s">
        <v>153</v>
      </c>
      <c r="C133" s="10" t="s">
        <v>65</v>
      </c>
      <c r="D133" s="10" t="s">
        <v>104</v>
      </c>
      <c r="E133" s="10" t="s">
        <v>117</v>
      </c>
      <c r="F133" s="10" t="s">
        <v>249</v>
      </c>
      <c r="G133" s="8" t="s">
        <v>250</v>
      </c>
      <c r="H133" s="8" t="s">
        <v>126</v>
      </c>
      <c r="I133" s="8" t="s">
        <v>127</v>
      </c>
      <c r="J133" s="8" t="s">
        <v>168</v>
      </c>
      <c r="K133" s="10" t="s">
        <v>41</v>
      </c>
      <c r="L133" s="204" t="s">
        <v>167</v>
      </c>
      <c r="M133" s="10" t="s">
        <v>169</v>
      </c>
      <c r="N133" s="10" t="s">
        <v>128</v>
      </c>
    </row>
    <row r="134" spans="1:33" s="3" customFormat="1" ht="26" hidden="1" x14ac:dyDescent="0.35">
      <c r="A134" s="93">
        <f>$B$40</f>
        <v>46233</v>
      </c>
      <c r="B134" s="93" t="str">
        <f>$C$37</f>
        <v>308/VII</v>
      </c>
      <c r="C134" s="75">
        <f>B24</f>
        <v>1</v>
      </c>
      <c r="D134" s="75" t="str">
        <f>C24</f>
        <v>DEBDA0319-T1</v>
      </c>
      <c r="E134" s="75" t="str">
        <f>D24</f>
        <v>DEBDA0319-T1-BC.1</v>
      </c>
      <c r="F134" s="107">
        <f>E24</f>
        <v>487.5</v>
      </c>
      <c r="G134" s="43">
        <f>D58</f>
        <v>1644.78</v>
      </c>
      <c r="H134" s="303">
        <f>E102</f>
        <v>0</v>
      </c>
      <c r="I134" s="303">
        <f>F102</f>
        <v>0</v>
      </c>
      <c r="J134" s="303">
        <f>G102</f>
        <v>0</v>
      </c>
      <c r="K134" s="42">
        <v>0</v>
      </c>
      <c r="L134" s="205">
        <f>G134+H134+I134+J134+K134</f>
        <v>1644.78</v>
      </c>
      <c r="M134" s="42">
        <f>L134-F134</f>
        <v>1157.28</v>
      </c>
      <c r="N134" s="34">
        <f>M134/F134</f>
        <v>2.3739076923076921</v>
      </c>
    </row>
    <row r="135" spans="1:33" s="38" customFormat="1" ht="26" hidden="1" x14ac:dyDescent="0.3">
      <c r="A135" s="93">
        <f t="shared" ref="A135:A137" si="9">$B$40</f>
        <v>46233</v>
      </c>
      <c r="B135" s="93" t="str">
        <f t="shared" ref="B135:B137" si="10">$C$37</f>
        <v>308/VII</v>
      </c>
      <c r="C135" s="75">
        <f t="shared" ref="C135:E137" si="11">B25</f>
        <v>1</v>
      </c>
      <c r="D135" s="75" t="str">
        <f t="shared" si="11"/>
        <v>DEBDA0319-T1</v>
      </c>
      <c r="E135" s="75" t="str">
        <f t="shared" si="11"/>
        <v>DEBDA0319-T1-BC.2</v>
      </c>
      <c r="F135" s="107">
        <f t="shared" ref="F135:F137" si="12">E25</f>
        <v>487.5</v>
      </c>
      <c r="G135" s="43">
        <f>D64</f>
        <v>0</v>
      </c>
      <c r="H135" s="304"/>
      <c r="I135" s="304"/>
      <c r="J135" s="304"/>
      <c r="K135" s="42">
        <v>0</v>
      </c>
      <c r="L135" s="205">
        <f t="shared" ref="L135:L136" si="13">G135+H135+I135+J135+K135</f>
        <v>0</v>
      </c>
      <c r="M135" s="42">
        <f t="shared" ref="M135:M137" si="14">L135-F135</f>
        <v>-487.5</v>
      </c>
      <c r="N135" s="34">
        <f>M135/F135</f>
        <v>-1</v>
      </c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 spans="1:33" s="38" customFormat="1" ht="26" hidden="1" x14ac:dyDescent="0.3">
      <c r="A136" s="93">
        <f t="shared" si="9"/>
        <v>46233</v>
      </c>
      <c r="B136" s="93" t="str">
        <f t="shared" si="10"/>
        <v>308/VII</v>
      </c>
      <c r="C136" s="75">
        <f t="shared" si="11"/>
        <v>1</v>
      </c>
      <c r="D136" s="75" t="str">
        <f t="shared" si="11"/>
        <v>DEBDA0319-T1</v>
      </c>
      <c r="E136" s="75" t="str">
        <f t="shared" si="11"/>
        <v>DEBDA0319-T1-BC.3</v>
      </c>
      <c r="F136" s="107">
        <f t="shared" si="12"/>
        <v>487.5</v>
      </c>
      <c r="G136" s="43">
        <f>D70</f>
        <v>0</v>
      </c>
      <c r="H136" s="304"/>
      <c r="I136" s="304"/>
      <c r="J136" s="304"/>
      <c r="K136" s="42">
        <v>0</v>
      </c>
      <c r="L136" s="205">
        <f t="shared" si="13"/>
        <v>0</v>
      </c>
      <c r="M136" s="42">
        <f t="shared" si="14"/>
        <v>-487.5</v>
      </c>
      <c r="N136" s="34">
        <f>M136/F136</f>
        <v>-1</v>
      </c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 spans="1:33" s="38" customFormat="1" ht="26" hidden="1" x14ac:dyDescent="0.3">
      <c r="A137" s="93">
        <f t="shared" si="9"/>
        <v>46233</v>
      </c>
      <c r="B137" s="93" t="str">
        <f t="shared" si="10"/>
        <v>308/VII</v>
      </c>
      <c r="C137" s="75">
        <f t="shared" si="11"/>
        <v>1</v>
      </c>
      <c r="D137" s="75" t="str">
        <f t="shared" si="11"/>
        <v>DEBDA0319-T1</v>
      </c>
      <c r="E137" s="75" t="str">
        <f t="shared" si="11"/>
        <v>DEBDA0319-T1-BC.4</v>
      </c>
      <c r="F137" s="107">
        <f t="shared" si="12"/>
        <v>487.5</v>
      </c>
      <c r="G137" s="42">
        <f>D76</f>
        <v>0</v>
      </c>
      <c r="H137" s="305"/>
      <c r="I137" s="305"/>
      <c r="J137" s="305"/>
      <c r="K137" s="42">
        <f>C107</f>
        <v>264.72000000000003</v>
      </c>
      <c r="L137" s="205">
        <f>G137+H134+I134+J134+K137</f>
        <v>264.72000000000003</v>
      </c>
      <c r="M137" s="42">
        <f t="shared" si="14"/>
        <v>-222.77999999999997</v>
      </c>
      <c r="N137" s="34">
        <f>M137/F137</f>
        <v>-0.45698461538461532</v>
      </c>
      <c r="O137" s="108" t="s">
        <v>152</v>
      </c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 spans="1:33" s="3" customFormat="1" x14ac:dyDescent="0.35">
      <c r="G138" s="6"/>
      <c r="I138" s="6"/>
      <c r="K138" s="54"/>
      <c r="L138" s="198"/>
    </row>
    <row r="139" spans="1:33" s="3" customFormat="1" x14ac:dyDescent="0.35">
      <c r="G139" s="35" t="s">
        <v>58</v>
      </c>
      <c r="H139" s="36" t="s">
        <v>59</v>
      </c>
      <c r="I139" s="6"/>
      <c r="L139" s="198"/>
    </row>
    <row r="140" spans="1:33" s="3" customFormat="1" x14ac:dyDescent="0.35">
      <c r="G140" s="37" t="s">
        <v>60</v>
      </c>
      <c r="I140" s="6"/>
      <c r="L140" s="198"/>
    </row>
    <row r="141" spans="1:33" s="3" customFormat="1" x14ac:dyDescent="0.35">
      <c r="G141" s="3" t="s">
        <v>61</v>
      </c>
      <c r="I141" s="6"/>
      <c r="L141" s="198"/>
    </row>
    <row r="142" spans="1:33" s="3" customFormat="1" x14ac:dyDescent="0.35">
      <c r="G142" s="3" t="s">
        <v>62</v>
      </c>
      <c r="H142" s="4"/>
      <c r="I142" s="6"/>
      <c r="L142" s="198"/>
    </row>
    <row r="144" spans="1:33" x14ac:dyDescent="0.35">
      <c r="A144" s="296" t="s">
        <v>154</v>
      </c>
      <c r="B144" s="296"/>
      <c r="C144" s="296"/>
      <c r="D144" s="296"/>
      <c r="E144" s="296"/>
      <c r="F144" s="296"/>
      <c r="G144" s="296"/>
      <c r="H144" s="296"/>
      <c r="I144" s="296"/>
      <c r="J144" s="296"/>
      <c r="K144" s="296"/>
      <c r="L144" s="296"/>
    </row>
    <row r="146" spans="1:25" s="3" customFormat="1" x14ac:dyDescent="0.35">
      <c r="B146" s="4"/>
      <c r="C146" s="4"/>
      <c r="D146" s="4"/>
      <c r="E146" s="4"/>
      <c r="G146" s="257" t="s">
        <v>68</v>
      </c>
      <c r="H146" s="257"/>
      <c r="I146" s="257"/>
      <c r="J146" s="257"/>
      <c r="K146" s="257"/>
      <c r="L146" s="257"/>
      <c r="M146" s="257"/>
      <c r="N146" s="257"/>
      <c r="P146" s="247" t="s">
        <v>311</v>
      </c>
      <c r="Q146" s="247"/>
      <c r="R146" s="247"/>
      <c r="S146" s="247"/>
      <c r="T146" s="247"/>
      <c r="U146" s="247"/>
      <c r="V146" s="247"/>
      <c r="W146" s="247"/>
    </row>
    <row r="147" spans="1:25" s="3" customFormat="1" ht="65" x14ac:dyDescent="0.35">
      <c r="A147" s="8" t="s">
        <v>33</v>
      </c>
      <c r="B147" s="8" t="s">
        <v>70</v>
      </c>
      <c r="C147" s="10" t="s">
        <v>310</v>
      </c>
      <c r="D147" s="8" t="s">
        <v>72</v>
      </c>
      <c r="E147" s="8" t="s">
        <v>34</v>
      </c>
      <c r="F147" s="47" t="s">
        <v>73</v>
      </c>
      <c r="G147" s="8" t="s">
        <v>74</v>
      </c>
      <c r="H147" s="10" t="s">
        <v>156</v>
      </c>
      <c r="I147" s="10" t="s">
        <v>75</v>
      </c>
      <c r="J147" s="10" t="s">
        <v>76</v>
      </c>
      <c r="K147" s="10" t="s">
        <v>158</v>
      </c>
      <c r="L147" s="206" t="s">
        <v>78</v>
      </c>
      <c r="M147" s="48" t="s">
        <v>79</v>
      </c>
      <c r="N147" s="48" t="s">
        <v>80</v>
      </c>
      <c r="O147" s="48" t="s">
        <v>81</v>
      </c>
      <c r="P147" s="48" t="s">
        <v>82</v>
      </c>
      <c r="Q147" s="10" t="s">
        <v>157</v>
      </c>
      <c r="R147" s="10" t="s">
        <v>83</v>
      </c>
      <c r="S147" s="10" t="s">
        <v>84</v>
      </c>
      <c r="T147" s="10" t="s">
        <v>85</v>
      </c>
      <c r="U147" s="48" t="s">
        <v>86</v>
      </c>
      <c r="V147" s="48" t="s">
        <v>87</v>
      </c>
      <c r="W147" s="48" t="s">
        <v>88</v>
      </c>
    </row>
    <row r="148" spans="1:25" s="3" customFormat="1" x14ac:dyDescent="0.35">
      <c r="A148" s="43">
        <v>1</v>
      </c>
      <c r="B148" s="109" t="str">
        <f>C53</f>
        <v>Canal C75.75 PRE B</v>
      </c>
      <c r="C148" s="44">
        <f>B129</f>
        <v>1644.78</v>
      </c>
      <c r="D148" s="49">
        <f>E58</f>
        <v>4.74</v>
      </c>
      <c r="E148" s="43">
        <v>6</v>
      </c>
      <c r="F148" s="50">
        <v>11805</v>
      </c>
      <c r="G148" s="50">
        <f>F148*D148</f>
        <v>55955.700000000004</v>
      </c>
      <c r="H148" s="49">
        <f>400*D148</f>
        <v>1896</v>
      </c>
      <c r="I148" s="50">
        <f>300*D148</f>
        <v>1422</v>
      </c>
      <c r="J148" s="49">
        <f>500*D148</f>
        <v>2370</v>
      </c>
      <c r="K148" s="49">
        <f>150*D148</f>
        <v>711</v>
      </c>
      <c r="L148" s="207">
        <f>200*D148</f>
        <v>948</v>
      </c>
      <c r="M148" s="49">
        <f>2%*G148</f>
        <v>1119.114</v>
      </c>
      <c r="N148" s="51">
        <f>SUM(G148:M148)</f>
        <v>64421.814000000006</v>
      </c>
      <c r="O148" s="110">
        <f>SUM(C58,C64,C70,C76)</f>
        <v>347</v>
      </c>
      <c r="P148" s="49">
        <f>$O148*G148</f>
        <v>19416627.900000002</v>
      </c>
      <c r="Q148" s="49">
        <f t="shared" ref="Q148:V149" si="15">$O148*H148</f>
        <v>657912</v>
      </c>
      <c r="R148" s="49">
        <f t="shared" si="15"/>
        <v>493434</v>
      </c>
      <c r="S148" s="49">
        <f t="shared" si="15"/>
        <v>822390</v>
      </c>
      <c r="T148" s="49">
        <f t="shared" si="15"/>
        <v>246717</v>
      </c>
      <c r="U148" s="49">
        <f t="shared" si="15"/>
        <v>328956</v>
      </c>
      <c r="V148" s="49">
        <f t="shared" si="15"/>
        <v>388332.55800000002</v>
      </c>
      <c r="W148" s="51">
        <f>O148*N148</f>
        <v>22354369.458000001</v>
      </c>
      <c r="X148" s="54"/>
    </row>
    <row r="149" spans="1:25" s="3" customFormat="1" x14ac:dyDescent="0.35">
      <c r="A149" s="43">
        <v>2</v>
      </c>
      <c r="B149" s="109"/>
      <c r="C149" s="43"/>
      <c r="D149" s="49"/>
      <c r="E149" s="43"/>
      <c r="F149" s="52"/>
      <c r="G149" s="50">
        <f t="shared" ref="G149" si="16">F149*D149</f>
        <v>0</v>
      </c>
      <c r="H149" s="49">
        <f t="shared" ref="H149" si="17">400*D149</f>
        <v>0</v>
      </c>
      <c r="I149" s="50">
        <f t="shared" ref="I149" si="18">300*D149</f>
        <v>0</v>
      </c>
      <c r="J149" s="49">
        <f>500*D149</f>
        <v>0</v>
      </c>
      <c r="K149" s="49">
        <f t="shared" ref="K149" si="19">200*D149</f>
        <v>0</v>
      </c>
      <c r="L149" s="207">
        <f>200*D149</f>
        <v>0</v>
      </c>
      <c r="M149" s="49">
        <f>2%*G149</f>
        <v>0</v>
      </c>
      <c r="N149" s="51">
        <f>SUM(G149:M149)</f>
        <v>0</v>
      </c>
      <c r="O149" s="43"/>
      <c r="P149" s="49">
        <f>$O$124*G149</f>
        <v>0</v>
      </c>
      <c r="Q149" s="49">
        <f t="shared" si="15"/>
        <v>0</v>
      </c>
      <c r="R149" s="49">
        <f t="shared" si="15"/>
        <v>0</v>
      </c>
      <c r="S149" s="49">
        <f t="shared" si="15"/>
        <v>0</v>
      </c>
      <c r="T149" s="49">
        <f t="shared" si="15"/>
        <v>0</v>
      </c>
      <c r="U149" s="49">
        <f t="shared" si="15"/>
        <v>0</v>
      </c>
      <c r="V149" s="49">
        <f t="shared" si="15"/>
        <v>0</v>
      </c>
      <c r="W149" s="51">
        <f>O149*N149</f>
        <v>0</v>
      </c>
    </row>
    <row r="150" spans="1:25" s="3" customFormat="1" x14ac:dyDescent="0.35">
      <c r="A150" s="13"/>
      <c r="B150" s="53"/>
      <c r="C150" s="12">
        <f>SUM(C148:C149)</f>
        <v>1644.78</v>
      </c>
      <c r="D150" s="54"/>
      <c r="E150" s="13"/>
      <c r="F150" s="6"/>
      <c r="G150" s="6"/>
      <c r="H150" s="54"/>
      <c r="I150" s="6"/>
      <c r="L150" s="208"/>
      <c r="M150" s="54"/>
      <c r="N150" s="54"/>
      <c r="P150" s="55">
        <f t="shared" ref="P150:V150" si="20">SUM(P148:P149)</f>
        <v>19416627.900000002</v>
      </c>
      <c r="Q150" s="55">
        <f t="shared" si="20"/>
        <v>657912</v>
      </c>
      <c r="R150" s="55">
        <f t="shared" si="20"/>
        <v>493434</v>
      </c>
      <c r="S150" s="55">
        <f t="shared" si="20"/>
        <v>822390</v>
      </c>
      <c r="T150" s="55">
        <f t="shared" si="20"/>
        <v>246717</v>
      </c>
      <c r="U150" s="55">
        <f t="shared" si="20"/>
        <v>328956</v>
      </c>
      <c r="V150" s="55">
        <f t="shared" si="20"/>
        <v>388332.55800000002</v>
      </c>
    </row>
    <row r="151" spans="1:25" s="3" customFormat="1" x14ac:dyDescent="0.35">
      <c r="A151" s="13"/>
      <c r="B151" s="53"/>
      <c r="C151" s="12"/>
      <c r="D151" s="54"/>
      <c r="E151" s="13"/>
      <c r="F151" s="6"/>
      <c r="G151" s="6"/>
      <c r="H151" s="54"/>
      <c r="I151" s="6"/>
      <c r="J151" s="54"/>
      <c r="K151" s="54"/>
      <c r="L151" s="198"/>
      <c r="N151" s="55"/>
      <c r="O151" s="55"/>
      <c r="P151" s="55"/>
    </row>
    <row r="152" spans="1:25" s="3" customFormat="1" x14ac:dyDescent="0.35">
      <c r="A152" s="45" t="s">
        <v>89</v>
      </c>
      <c r="B152" s="53"/>
      <c r="C152" s="13"/>
      <c r="D152" s="54"/>
      <c r="E152" s="13"/>
      <c r="F152" s="56"/>
      <c r="G152" s="6"/>
      <c r="I152" s="6"/>
      <c r="K152" s="6"/>
      <c r="L152" s="198"/>
    </row>
    <row r="153" spans="1:25" s="3" customFormat="1" x14ac:dyDescent="0.35">
      <c r="A153" s="45" t="s">
        <v>90</v>
      </c>
      <c r="B153" s="53"/>
      <c r="C153" s="13"/>
      <c r="D153" s="54"/>
      <c r="E153" s="13"/>
      <c r="F153" s="6"/>
      <c r="G153" s="297" t="s">
        <v>68</v>
      </c>
      <c r="H153" s="298"/>
      <c r="I153" s="298"/>
      <c r="J153" s="298"/>
      <c r="K153" s="298"/>
      <c r="L153" s="298"/>
      <c r="M153" s="298"/>
      <c r="N153" s="299"/>
      <c r="P153" s="300" t="s">
        <v>170</v>
      </c>
      <c r="Q153" s="301"/>
      <c r="R153" s="301"/>
      <c r="S153" s="301"/>
      <c r="T153" s="301"/>
      <c r="U153" s="301"/>
      <c r="V153" s="301"/>
      <c r="W153" s="302"/>
    </row>
    <row r="154" spans="1:25" s="3" customFormat="1" ht="65" x14ac:dyDescent="0.35">
      <c r="A154" s="8" t="s">
        <v>33</v>
      </c>
      <c r="B154" s="8" t="s">
        <v>70</v>
      </c>
      <c r="C154" s="8" t="s">
        <v>71</v>
      </c>
      <c r="D154" s="8" t="s">
        <v>72</v>
      </c>
      <c r="E154" s="8" t="s">
        <v>34</v>
      </c>
      <c r="F154" s="47" t="s">
        <v>73</v>
      </c>
      <c r="G154" s="8" t="s">
        <v>74</v>
      </c>
      <c r="H154" s="10" t="s">
        <v>159</v>
      </c>
      <c r="I154" s="10" t="s">
        <v>75</v>
      </c>
      <c r="J154" s="10" t="s">
        <v>76</v>
      </c>
      <c r="K154" s="10" t="s">
        <v>77</v>
      </c>
      <c r="L154" s="206" t="s">
        <v>78</v>
      </c>
      <c r="M154" s="48" t="s">
        <v>79</v>
      </c>
      <c r="N154" s="48" t="s">
        <v>80</v>
      </c>
      <c r="O154" s="57" t="s">
        <v>91</v>
      </c>
      <c r="P154" s="48" t="s">
        <v>82</v>
      </c>
      <c r="Q154" s="10" t="s">
        <v>157</v>
      </c>
      <c r="R154" s="10" t="s">
        <v>83</v>
      </c>
      <c r="S154" s="10" t="s">
        <v>92</v>
      </c>
      <c r="T154" s="10" t="s">
        <v>85</v>
      </c>
      <c r="U154" s="48" t="s">
        <v>86</v>
      </c>
      <c r="V154" s="48" t="s">
        <v>87</v>
      </c>
      <c r="W154" s="48" t="s">
        <v>88</v>
      </c>
      <c r="X154" s="48" t="s">
        <v>171</v>
      </c>
      <c r="Y154" s="48" t="s">
        <v>240</v>
      </c>
    </row>
    <row r="155" spans="1:25" s="3" customFormat="1" ht="26" x14ac:dyDescent="0.35">
      <c r="A155" s="43">
        <v>1</v>
      </c>
      <c r="B155" s="58" t="str">
        <f>G96</f>
        <v>(Select Master Product)-KW 2</v>
      </c>
      <c r="C155" s="130">
        <f>E96</f>
        <v>0</v>
      </c>
      <c r="D155" s="49">
        <f>F96</f>
        <v>0</v>
      </c>
      <c r="E155" s="43">
        <f>C96</f>
        <v>0</v>
      </c>
      <c r="F155" s="50">
        <v>11805</v>
      </c>
      <c r="G155" s="50">
        <f>F155*D155</f>
        <v>0</v>
      </c>
      <c r="H155" s="49">
        <f>400*D155</f>
        <v>0</v>
      </c>
      <c r="I155" s="50">
        <f>300*D155</f>
        <v>0</v>
      </c>
      <c r="J155" s="49">
        <f>500*D155</f>
        <v>0</v>
      </c>
      <c r="K155" s="49">
        <f>200*D155</f>
        <v>0</v>
      </c>
      <c r="L155" s="207">
        <f>200*D155</f>
        <v>0</v>
      </c>
      <c r="M155" s="49">
        <f>2%*G155</f>
        <v>0</v>
      </c>
      <c r="N155" s="51">
        <f>SUM(G155:M155)</f>
        <v>0</v>
      </c>
      <c r="O155" s="131">
        <f>D96</f>
        <v>0</v>
      </c>
      <c r="P155" s="49">
        <f t="shared" ref="P155:V155" si="21">G155*80%*$O$155</f>
        <v>0</v>
      </c>
      <c r="Q155" s="49">
        <f t="shared" si="21"/>
        <v>0</v>
      </c>
      <c r="R155" s="49">
        <f t="shared" si="21"/>
        <v>0</v>
      </c>
      <c r="S155" s="49">
        <f t="shared" si="21"/>
        <v>0</v>
      </c>
      <c r="T155" s="49">
        <f t="shared" si="21"/>
        <v>0</v>
      </c>
      <c r="U155" s="49">
        <f t="shared" si="21"/>
        <v>0</v>
      </c>
      <c r="V155" s="49">
        <f t="shared" si="21"/>
        <v>0</v>
      </c>
      <c r="W155" s="51">
        <f>SUM(P155:V155)</f>
        <v>0</v>
      </c>
      <c r="X155" s="51">
        <f>W155*80%</f>
        <v>0</v>
      </c>
      <c r="Y155" s="51">
        <f>W155*20%</f>
        <v>0</v>
      </c>
    </row>
    <row r="156" spans="1:25" s="3" customFormat="1" x14ac:dyDescent="0.35">
      <c r="A156" s="13"/>
      <c r="B156" s="59"/>
      <c r="C156" s="12">
        <f>SUM(C155)</f>
        <v>0</v>
      </c>
      <c r="D156" s="54"/>
      <c r="E156" s="13"/>
      <c r="F156" s="60"/>
      <c r="G156" s="60"/>
      <c r="H156" s="55"/>
      <c r="I156" s="60"/>
      <c r="J156" s="54"/>
      <c r="K156" s="54"/>
      <c r="L156" s="198"/>
    </row>
    <row r="157" spans="1:25" s="3" customFormat="1" x14ac:dyDescent="0.35">
      <c r="A157" s="13"/>
      <c r="B157" s="59"/>
      <c r="C157" s="12"/>
      <c r="D157" s="54"/>
      <c r="E157" s="13"/>
      <c r="F157" s="60"/>
      <c r="G157" s="60"/>
      <c r="H157" s="55"/>
      <c r="I157" s="60"/>
      <c r="J157" s="54"/>
      <c r="K157" s="54"/>
      <c r="L157" s="198"/>
    </row>
    <row r="158" spans="1:25" s="3" customFormat="1" x14ac:dyDescent="0.35">
      <c r="A158" s="13"/>
      <c r="B158" s="53"/>
      <c r="D158" s="54"/>
      <c r="E158" s="13"/>
      <c r="F158" s="6"/>
      <c r="G158" s="6"/>
      <c r="H158" s="54"/>
      <c r="I158" s="6"/>
      <c r="J158" s="54"/>
      <c r="K158" s="54"/>
      <c r="L158" s="198"/>
    </row>
    <row r="159" spans="1:25" s="3" customFormat="1" x14ac:dyDescent="0.35">
      <c r="A159" s="45" t="s">
        <v>93</v>
      </c>
      <c r="B159" s="53"/>
      <c r="C159" s="13"/>
      <c r="D159" s="54"/>
      <c r="E159" s="13"/>
      <c r="F159" s="6"/>
      <c r="G159" s="297" t="s">
        <v>68</v>
      </c>
      <c r="H159" s="298"/>
      <c r="I159" s="298"/>
      <c r="J159" s="298"/>
      <c r="K159" s="298"/>
      <c r="L159" s="298"/>
      <c r="M159" s="298"/>
      <c r="N159" s="299"/>
      <c r="P159" s="300" t="s">
        <v>170</v>
      </c>
      <c r="Q159" s="301"/>
      <c r="R159" s="301"/>
      <c r="S159" s="301"/>
      <c r="T159" s="301"/>
      <c r="U159" s="301"/>
      <c r="V159" s="301"/>
      <c r="W159" s="302"/>
    </row>
    <row r="160" spans="1:25" s="3" customFormat="1" ht="65" x14ac:dyDescent="0.35">
      <c r="A160" s="8" t="s">
        <v>33</v>
      </c>
      <c r="B160" s="8" t="s">
        <v>70</v>
      </c>
      <c r="C160" s="8" t="s">
        <v>71</v>
      </c>
      <c r="D160" s="8" t="s">
        <v>72</v>
      </c>
      <c r="E160" s="8" t="s">
        <v>34</v>
      </c>
      <c r="F160" s="47" t="s">
        <v>73</v>
      </c>
      <c r="G160" s="8" t="s">
        <v>74</v>
      </c>
      <c r="H160" s="10" t="s">
        <v>159</v>
      </c>
      <c r="I160" s="10" t="s">
        <v>75</v>
      </c>
      <c r="J160" s="10" t="s">
        <v>76</v>
      </c>
      <c r="K160" s="10" t="s">
        <v>77</v>
      </c>
      <c r="L160" s="206" t="s">
        <v>78</v>
      </c>
      <c r="M160" s="48" t="s">
        <v>79</v>
      </c>
      <c r="N160" s="48" t="s">
        <v>80</v>
      </c>
      <c r="O160" s="57" t="s">
        <v>91</v>
      </c>
      <c r="P160" s="48" t="s">
        <v>82</v>
      </c>
      <c r="Q160" s="10" t="s">
        <v>157</v>
      </c>
      <c r="R160" s="10" t="s">
        <v>83</v>
      </c>
      <c r="S160" s="10" t="s">
        <v>92</v>
      </c>
      <c r="T160" s="10" t="s">
        <v>85</v>
      </c>
      <c r="U160" s="48" t="s">
        <v>86</v>
      </c>
      <c r="V160" s="48" t="s">
        <v>87</v>
      </c>
      <c r="W160" s="48" t="s">
        <v>88</v>
      </c>
      <c r="X160" s="48" t="s">
        <v>171</v>
      </c>
      <c r="Y160" s="48" t="s">
        <v>240</v>
      </c>
    </row>
    <row r="161" spans="1:25" s="3" customFormat="1" x14ac:dyDescent="0.35">
      <c r="A161" s="43">
        <v>1</v>
      </c>
      <c r="B161" s="58">
        <f>G102</f>
        <v>0</v>
      </c>
      <c r="C161" s="130">
        <f>E102</f>
        <v>0</v>
      </c>
      <c r="D161" s="49">
        <f>F102</f>
        <v>0</v>
      </c>
      <c r="E161" s="43">
        <f>C102</f>
        <v>0</v>
      </c>
      <c r="F161" s="50">
        <v>11805</v>
      </c>
      <c r="G161" s="50">
        <f>F161*D161</f>
        <v>0</v>
      </c>
      <c r="H161" s="49">
        <f>400*D161</f>
        <v>0</v>
      </c>
      <c r="I161" s="50">
        <f>300*D161</f>
        <v>0</v>
      </c>
      <c r="J161" s="49">
        <f>500*D161</f>
        <v>0</v>
      </c>
      <c r="K161" s="49">
        <f>200*D161</f>
        <v>0</v>
      </c>
      <c r="L161" s="207">
        <f>200*D161</f>
        <v>0</v>
      </c>
      <c r="M161" s="49">
        <f>2%*G161</f>
        <v>0</v>
      </c>
      <c r="N161" s="51">
        <f>SUM(G161:M161)</f>
        <v>0</v>
      </c>
      <c r="O161" s="131">
        <f>D102</f>
        <v>0</v>
      </c>
      <c r="P161" s="49">
        <f t="shared" ref="P161:V161" si="22">G161*80%*$O$155</f>
        <v>0</v>
      </c>
      <c r="Q161" s="49">
        <f t="shared" si="22"/>
        <v>0</v>
      </c>
      <c r="R161" s="49">
        <f t="shared" si="22"/>
        <v>0</v>
      </c>
      <c r="S161" s="49">
        <f t="shared" si="22"/>
        <v>0</v>
      </c>
      <c r="T161" s="49">
        <f t="shared" si="22"/>
        <v>0</v>
      </c>
      <c r="U161" s="49">
        <f t="shared" si="22"/>
        <v>0</v>
      </c>
      <c r="V161" s="49">
        <f t="shared" si="22"/>
        <v>0</v>
      </c>
      <c r="W161" s="51">
        <f>SUM(P161:V161)</f>
        <v>0</v>
      </c>
      <c r="X161" s="51">
        <f>W161*80%</f>
        <v>0</v>
      </c>
      <c r="Y161" s="51">
        <f>W161*20%</f>
        <v>0</v>
      </c>
    </row>
    <row r="162" spans="1:25" s="3" customFormat="1" x14ac:dyDescent="0.35">
      <c r="A162" s="13"/>
      <c r="B162" s="59"/>
      <c r="C162" s="12">
        <f>SUM(C161)</f>
        <v>0</v>
      </c>
      <c r="D162" s="54"/>
      <c r="E162" s="13"/>
      <c r="F162" s="60"/>
      <c r="G162" s="60"/>
      <c r="H162" s="55"/>
      <c r="I162" s="60"/>
      <c r="J162" s="54"/>
      <c r="K162" s="54"/>
      <c r="L162" s="198"/>
    </row>
    <row r="163" spans="1:25" s="3" customFormat="1" x14ac:dyDescent="0.35">
      <c r="A163" s="13"/>
      <c r="B163" s="53"/>
      <c r="C163" s="13"/>
      <c r="D163" s="54"/>
      <c r="E163" s="13"/>
      <c r="F163" s="6"/>
      <c r="G163" s="6"/>
      <c r="H163" s="54"/>
      <c r="I163" s="6"/>
      <c r="J163" s="54"/>
      <c r="K163" s="54"/>
      <c r="L163" s="198"/>
    </row>
    <row r="164" spans="1:25" s="3" customFormat="1" x14ac:dyDescent="0.35">
      <c r="A164" s="45" t="s">
        <v>161</v>
      </c>
      <c r="B164" s="53"/>
      <c r="C164" s="13"/>
      <c r="D164" s="54"/>
      <c r="E164" s="13"/>
      <c r="F164" s="6"/>
      <c r="G164" s="6"/>
      <c r="H164" s="54"/>
      <c r="I164" s="6"/>
      <c r="J164" s="54"/>
      <c r="K164" s="54"/>
      <c r="L164" s="198"/>
    </row>
    <row r="165" spans="1:25" s="3" customFormat="1" x14ac:dyDescent="0.35">
      <c r="B165" s="18"/>
      <c r="C165" s="18"/>
      <c r="D165" s="18"/>
      <c r="E165" s="18"/>
      <c r="F165" s="18"/>
      <c r="G165" s="18"/>
      <c r="H165" s="18"/>
      <c r="I165" s="5"/>
      <c r="J165" s="4"/>
      <c r="K165" s="4"/>
      <c r="L165" s="199"/>
    </row>
    <row r="166" spans="1:25" s="3" customFormat="1" ht="39" x14ac:dyDescent="0.35">
      <c r="B166" s="8" t="s">
        <v>33</v>
      </c>
      <c r="C166" s="8" t="s">
        <v>94</v>
      </c>
      <c r="D166" s="8" t="s">
        <v>95</v>
      </c>
      <c r="E166" s="61" t="s">
        <v>96</v>
      </c>
      <c r="F166" s="10" t="s">
        <v>321</v>
      </c>
      <c r="G166" s="10" t="s">
        <v>322</v>
      </c>
      <c r="I166" s="6"/>
      <c r="L166" s="198"/>
    </row>
    <row r="167" spans="1:25" s="3" customFormat="1" x14ac:dyDescent="0.35">
      <c r="B167" s="43">
        <v>1</v>
      </c>
      <c r="C167" s="46" t="s">
        <v>172</v>
      </c>
      <c r="D167" s="62">
        <f>C121</f>
        <v>0</v>
      </c>
      <c r="E167" s="50">
        <v>11805</v>
      </c>
      <c r="F167" s="63">
        <f>D167*E167*40%</f>
        <v>0</v>
      </c>
      <c r="G167" s="63">
        <f>D167*E167*60%</f>
        <v>0</v>
      </c>
      <c r="H167" s="4"/>
      <c r="I167" s="5"/>
      <c r="J167" s="4"/>
      <c r="K167" s="4"/>
      <c r="L167" s="199"/>
    </row>
    <row r="168" spans="1:25" s="3" customFormat="1" x14ac:dyDescent="0.35">
      <c r="B168" s="43">
        <v>2</v>
      </c>
      <c r="C168" s="46" t="s">
        <v>173</v>
      </c>
      <c r="D168" s="62">
        <f>D121</f>
        <v>0</v>
      </c>
      <c r="E168" s="50">
        <v>11805</v>
      </c>
      <c r="F168" s="63">
        <f t="shared" ref="F168:F173" si="23">D168*E168*40%</f>
        <v>0</v>
      </c>
      <c r="G168" s="63">
        <f t="shared" ref="G168:G173" si="24">D168*E168*60%</f>
        <v>0</v>
      </c>
      <c r="H168" s="4"/>
      <c r="I168" s="5"/>
      <c r="J168" s="4"/>
      <c r="K168" s="4"/>
      <c r="L168" s="199"/>
    </row>
    <row r="169" spans="1:25" s="3" customFormat="1" x14ac:dyDescent="0.35">
      <c r="B169" s="43">
        <v>3</v>
      </c>
      <c r="C169" s="46" t="s">
        <v>174</v>
      </c>
      <c r="D169" s="62">
        <f>C122</f>
        <v>0</v>
      </c>
      <c r="E169" s="50">
        <v>11805</v>
      </c>
      <c r="F169" s="63">
        <f t="shared" si="23"/>
        <v>0</v>
      </c>
      <c r="G169" s="63">
        <f t="shared" si="24"/>
        <v>0</v>
      </c>
      <c r="H169" s="4"/>
      <c r="I169" s="5"/>
      <c r="J169" s="4"/>
      <c r="K169" s="4"/>
      <c r="L169" s="199"/>
    </row>
    <row r="170" spans="1:25" s="3" customFormat="1" x14ac:dyDescent="0.35">
      <c r="B170" s="43">
        <v>4</v>
      </c>
      <c r="C170" s="46" t="s">
        <v>175</v>
      </c>
      <c r="D170" s="62">
        <f>D122</f>
        <v>0</v>
      </c>
      <c r="E170" s="50">
        <v>11805</v>
      </c>
      <c r="F170" s="63">
        <f t="shared" si="23"/>
        <v>0</v>
      </c>
      <c r="G170" s="63">
        <f t="shared" si="24"/>
        <v>0</v>
      </c>
      <c r="H170" s="4"/>
      <c r="I170" s="5"/>
      <c r="J170" s="4"/>
      <c r="K170" s="4"/>
      <c r="L170" s="199"/>
    </row>
    <row r="171" spans="1:25" s="3" customFormat="1" x14ac:dyDescent="0.35">
      <c r="B171" s="43">
        <v>5</v>
      </c>
      <c r="C171" s="46" t="s">
        <v>51</v>
      </c>
      <c r="D171" s="62">
        <f>C117</f>
        <v>0</v>
      </c>
      <c r="E171" s="50">
        <v>11805</v>
      </c>
      <c r="F171" s="63">
        <f t="shared" si="23"/>
        <v>0</v>
      </c>
      <c r="G171" s="63">
        <f t="shared" si="24"/>
        <v>0</v>
      </c>
      <c r="H171" s="4"/>
      <c r="I171" s="5"/>
      <c r="J171" s="4"/>
      <c r="K171" s="4"/>
      <c r="L171" s="199"/>
    </row>
    <row r="172" spans="1:25" s="3" customFormat="1" x14ac:dyDescent="0.35">
      <c r="B172" s="43">
        <v>6</v>
      </c>
      <c r="C172" s="46" t="s">
        <v>52</v>
      </c>
      <c r="D172" s="62">
        <f>D117</f>
        <v>0</v>
      </c>
      <c r="E172" s="50">
        <v>11805</v>
      </c>
      <c r="F172" s="63">
        <f t="shared" si="23"/>
        <v>0</v>
      </c>
      <c r="G172" s="63">
        <f t="shared" si="24"/>
        <v>0</v>
      </c>
      <c r="H172" s="4"/>
      <c r="I172" s="5"/>
      <c r="J172" s="4"/>
      <c r="K172" s="4"/>
      <c r="L172" s="199"/>
    </row>
    <row r="173" spans="1:25" s="3" customFormat="1" x14ac:dyDescent="0.35">
      <c r="B173" s="43">
        <v>7</v>
      </c>
      <c r="C173" s="46" t="s">
        <v>48</v>
      </c>
      <c r="D173" s="62">
        <f>E117</f>
        <v>0</v>
      </c>
      <c r="E173" s="50">
        <v>11805</v>
      </c>
      <c r="F173" s="63">
        <f t="shared" si="23"/>
        <v>0</v>
      </c>
      <c r="G173" s="63">
        <f t="shared" si="24"/>
        <v>0</v>
      </c>
      <c r="H173" s="4"/>
      <c r="I173" s="5"/>
      <c r="J173" s="4"/>
      <c r="K173" s="4"/>
      <c r="L173" s="199"/>
    </row>
    <row r="174" spans="1:25" s="3" customFormat="1" x14ac:dyDescent="0.35">
      <c r="C174" s="64"/>
      <c r="E174" s="132" t="s">
        <v>176</v>
      </c>
      <c r="F174" s="68">
        <f>SUM(F167:F173)</f>
        <v>0</v>
      </c>
      <c r="G174" s="68">
        <f>SUM(G167:G173)</f>
        <v>0</v>
      </c>
      <c r="H174" s="4"/>
      <c r="I174" s="5"/>
      <c r="J174" s="4"/>
      <c r="K174" s="4"/>
      <c r="L174" s="199"/>
    </row>
    <row r="175" spans="1:25" s="3" customFormat="1" x14ac:dyDescent="0.35">
      <c r="C175" s="64"/>
      <c r="E175" s="132"/>
      <c r="F175" s="68"/>
      <c r="G175" s="68"/>
      <c r="H175" s="4"/>
      <c r="I175" s="5"/>
      <c r="J175" s="4"/>
      <c r="K175" s="4"/>
      <c r="L175" s="199"/>
    </row>
    <row r="176" spans="1:25" s="3" customFormat="1" x14ac:dyDescent="0.35">
      <c r="A176" s="45" t="s">
        <v>41</v>
      </c>
      <c r="L176" s="198"/>
    </row>
    <row r="177" spans="1:12" s="3" customFormat="1" ht="26" x14ac:dyDescent="0.35">
      <c r="A177" s="8" t="s">
        <v>33</v>
      </c>
      <c r="B177" s="8" t="s">
        <v>94</v>
      </c>
      <c r="C177" s="8" t="s">
        <v>95</v>
      </c>
      <c r="D177" s="61" t="s">
        <v>96</v>
      </c>
      <c r="E177" s="10" t="s">
        <v>99</v>
      </c>
      <c r="L177" s="198"/>
    </row>
    <row r="178" spans="1:12" s="3" customFormat="1" x14ac:dyDescent="0.35">
      <c r="A178" s="43">
        <v>1</v>
      </c>
      <c r="B178" s="46" t="str">
        <f>C106</f>
        <v>DEBDA0319-T1-BC.4</v>
      </c>
      <c r="C178" s="44">
        <f>C107</f>
        <v>264.72000000000003</v>
      </c>
      <c r="D178" s="50">
        <v>11805</v>
      </c>
      <c r="E178" s="66">
        <f>C178*D178</f>
        <v>3125019.6</v>
      </c>
      <c r="H178" s="18"/>
      <c r="I178" s="5"/>
      <c r="J178" s="4"/>
      <c r="K178" s="4"/>
      <c r="L178" s="199"/>
    </row>
    <row r="179" spans="1:12" s="3" customFormat="1" x14ac:dyDescent="0.35">
      <c r="A179" s="18"/>
      <c r="B179" s="18"/>
      <c r="C179" s="64"/>
      <c r="H179" s="18"/>
      <c r="I179" s="5"/>
      <c r="J179" s="4"/>
      <c r="K179" s="4"/>
      <c r="L179" s="199"/>
    </row>
    <row r="180" spans="1:12" s="3" customFormat="1" x14ac:dyDescent="0.35">
      <c r="A180" s="45" t="s">
        <v>205</v>
      </c>
      <c r="F180" s="55"/>
      <c r="G180" s="5"/>
      <c r="H180" s="4"/>
      <c r="I180" s="5"/>
      <c r="J180" s="4"/>
      <c r="K180" s="4"/>
      <c r="L180" s="199"/>
    </row>
    <row r="181" spans="1:12" s="3" customFormat="1" ht="26" x14ac:dyDescent="0.35">
      <c r="A181" s="8" t="s">
        <v>33</v>
      </c>
      <c r="B181" s="8" t="s">
        <v>94</v>
      </c>
      <c r="C181" s="8" t="s">
        <v>95</v>
      </c>
      <c r="D181" s="61" t="s">
        <v>96</v>
      </c>
      <c r="E181" s="10" t="s">
        <v>99</v>
      </c>
      <c r="F181" s="55"/>
      <c r="G181" s="5"/>
      <c r="H181" s="4"/>
      <c r="I181" s="5"/>
      <c r="J181" s="4"/>
      <c r="K181" s="4"/>
      <c r="L181" s="199"/>
    </row>
    <row r="182" spans="1:12" s="3" customFormat="1" x14ac:dyDescent="0.35">
      <c r="A182" s="43">
        <v>1</v>
      </c>
      <c r="B182" s="46" t="str">
        <f>C111</f>
        <v>(Select Baby Coil)</v>
      </c>
      <c r="C182" s="44">
        <f>C112</f>
        <v>0</v>
      </c>
      <c r="D182" s="50">
        <v>11805</v>
      </c>
      <c r="E182" s="66">
        <f>C182*D182</f>
        <v>0</v>
      </c>
      <c r="F182" s="55"/>
      <c r="G182" s="5"/>
      <c r="H182" s="4"/>
      <c r="I182" s="5"/>
      <c r="J182" s="4"/>
      <c r="K182" s="4"/>
      <c r="L182" s="199"/>
    </row>
    <row r="183" spans="1:12" s="3" customFormat="1" x14ac:dyDescent="0.35">
      <c r="C183" s="64"/>
      <c r="F183" s="55"/>
      <c r="G183" s="5"/>
      <c r="H183" s="4"/>
      <c r="I183" s="5"/>
      <c r="J183" s="4"/>
      <c r="K183" s="4"/>
      <c r="L183" s="199"/>
    </row>
    <row r="184" spans="1:12" s="3" customFormat="1" x14ac:dyDescent="0.35">
      <c r="A184" s="65" t="s">
        <v>100</v>
      </c>
      <c r="C184" s="64"/>
      <c r="F184" s="55"/>
      <c r="G184" s="5"/>
      <c r="H184" s="4"/>
      <c r="I184" s="5"/>
      <c r="J184" s="4"/>
      <c r="K184" s="4"/>
      <c r="L184" s="199"/>
    </row>
    <row r="185" spans="1:12" s="3" customFormat="1" ht="26" x14ac:dyDescent="0.35">
      <c r="A185" s="8" t="s">
        <v>33</v>
      </c>
      <c r="B185" s="8" t="s">
        <v>94</v>
      </c>
      <c r="C185" s="8" t="s">
        <v>95</v>
      </c>
      <c r="D185" s="10" t="s">
        <v>96</v>
      </c>
      <c r="E185" s="10" t="s">
        <v>99</v>
      </c>
      <c r="F185" s="55"/>
      <c r="G185" s="5"/>
      <c r="H185" s="4"/>
      <c r="I185" s="5"/>
      <c r="J185" s="4"/>
      <c r="K185" s="4"/>
      <c r="L185" s="199"/>
    </row>
    <row r="186" spans="1:12" s="3" customFormat="1" x14ac:dyDescent="0.35">
      <c r="A186" s="43">
        <v>1</v>
      </c>
      <c r="B186" s="67" t="s">
        <v>100</v>
      </c>
      <c r="C186" s="62">
        <f>K129</f>
        <v>40.5</v>
      </c>
      <c r="D186" s="50">
        <v>11805</v>
      </c>
      <c r="E186" s="51">
        <f>C186*D186</f>
        <v>478102.5</v>
      </c>
      <c r="F186" s="55"/>
      <c r="G186" s="5"/>
      <c r="H186" s="4"/>
      <c r="I186" s="5"/>
      <c r="J186" s="4"/>
      <c r="K186" s="4"/>
      <c r="L186" s="199"/>
    </row>
    <row r="188" spans="1:12" x14ac:dyDescent="0.35">
      <c r="A188" s="295" t="s">
        <v>101</v>
      </c>
      <c r="B188" s="295"/>
      <c r="C188" s="295"/>
      <c r="D188" s="295"/>
      <c r="E188" s="295"/>
      <c r="F188" s="295"/>
      <c r="G188" s="295"/>
      <c r="H188" s="295"/>
      <c r="I188" s="295"/>
      <c r="J188" s="295"/>
    </row>
    <row r="190" spans="1:12" s="137" customFormat="1" x14ac:dyDescent="0.35">
      <c r="A190" s="288" t="s">
        <v>33</v>
      </c>
      <c r="B190" s="288" t="s">
        <v>177</v>
      </c>
      <c r="C190" s="288" t="s">
        <v>178</v>
      </c>
      <c r="D190" s="288" t="s">
        <v>179</v>
      </c>
      <c r="E190" s="289" t="s">
        <v>101</v>
      </c>
      <c r="F190" s="290"/>
      <c r="G190" s="290"/>
      <c r="H190" s="290"/>
      <c r="I190" s="290"/>
      <c r="L190" s="209"/>
    </row>
    <row r="191" spans="1:12" s="137" customFormat="1" x14ac:dyDescent="0.35">
      <c r="A191" s="288"/>
      <c r="B191" s="288"/>
      <c r="C191" s="288"/>
      <c r="D191" s="288"/>
      <c r="E191" s="138" t="s">
        <v>180</v>
      </c>
      <c r="F191" s="138" t="s">
        <v>181</v>
      </c>
      <c r="G191" s="136" t="s">
        <v>182</v>
      </c>
      <c r="H191" s="136" t="s">
        <v>102</v>
      </c>
      <c r="I191" s="136" t="s">
        <v>103</v>
      </c>
      <c r="L191" s="209"/>
    </row>
    <row r="192" spans="1:12" s="137" customFormat="1" x14ac:dyDescent="0.35">
      <c r="A192" s="136"/>
      <c r="B192" s="153"/>
      <c r="C192" s="153"/>
      <c r="D192" s="153"/>
      <c r="E192" s="285" t="s">
        <v>220</v>
      </c>
      <c r="F192" s="286"/>
      <c r="G192" s="287"/>
      <c r="L192" s="209"/>
    </row>
    <row r="193" spans="1:12" s="137" customFormat="1" ht="29" customHeight="1" x14ac:dyDescent="0.35">
      <c r="A193" s="292">
        <v>1</v>
      </c>
      <c r="B193" s="293" t="s">
        <v>183</v>
      </c>
      <c r="C193" s="293"/>
      <c r="D193" s="196" t="s">
        <v>323</v>
      </c>
      <c r="E193" s="142">
        <v>1169143</v>
      </c>
      <c r="F193" s="133" t="s">
        <v>207</v>
      </c>
      <c r="G193" s="133" t="s">
        <v>241</v>
      </c>
      <c r="H193" s="149">
        <f>SUM(P150,P155,P161)</f>
        <v>19416627.900000002</v>
      </c>
      <c r="I193" s="145"/>
      <c r="J193" s="291" t="s">
        <v>214</v>
      </c>
      <c r="L193" s="209"/>
    </row>
    <row r="194" spans="1:12" s="137" customFormat="1" x14ac:dyDescent="0.35">
      <c r="A194" s="292"/>
      <c r="B194" s="293"/>
      <c r="C194" s="293"/>
      <c r="D194" s="153"/>
      <c r="E194" s="143">
        <v>1169174</v>
      </c>
      <c r="F194" s="133" t="s">
        <v>208</v>
      </c>
      <c r="G194" s="133" t="s">
        <v>242</v>
      </c>
      <c r="H194" s="149">
        <f>SUM(Q150,Q155,Q161)</f>
        <v>657912</v>
      </c>
      <c r="I194" s="145"/>
      <c r="J194" s="291"/>
      <c r="L194" s="209"/>
    </row>
    <row r="195" spans="1:12" s="137" customFormat="1" ht="31" customHeight="1" x14ac:dyDescent="0.35">
      <c r="A195" s="292"/>
      <c r="B195" s="293"/>
      <c r="C195" s="293"/>
      <c r="D195" s="153"/>
      <c r="E195" s="142">
        <v>1169263</v>
      </c>
      <c r="F195" s="133" t="s">
        <v>209</v>
      </c>
      <c r="G195" s="133" t="s">
        <v>243</v>
      </c>
      <c r="H195" s="149">
        <f>SUM(R150,R155,R161)</f>
        <v>493434</v>
      </c>
      <c r="I195" s="145"/>
      <c r="J195" s="291"/>
      <c r="L195" s="209"/>
    </row>
    <row r="196" spans="1:12" s="137" customFormat="1" ht="30" customHeight="1" x14ac:dyDescent="0.35">
      <c r="A196" s="292"/>
      <c r="B196" s="293"/>
      <c r="C196" s="293"/>
      <c r="D196" s="153"/>
      <c r="E196" s="142">
        <v>1169202</v>
      </c>
      <c r="F196" s="133" t="s">
        <v>210</v>
      </c>
      <c r="G196" s="133" t="s">
        <v>244</v>
      </c>
      <c r="H196" s="149">
        <f>SUM(S150,S155,S161)</f>
        <v>822390</v>
      </c>
      <c r="I196" s="145"/>
      <c r="J196" s="291"/>
      <c r="L196" s="209"/>
    </row>
    <row r="197" spans="1:12" s="137" customFormat="1" ht="28.5" customHeight="1" x14ac:dyDescent="0.35">
      <c r="A197" s="292"/>
      <c r="B197" s="293"/>
      <c r="C197" s="293"/>
      <c r="D197" s="153"/>
      <c r="E197" s="142">
        <v>1169233</v>
      </c>
      <c r="F197" s="133" t="s">
        <v>211</v>
      </c>
      <c r="G197" s="133" t="s">
        <v>245</v>
      </c>
      <c r="H197" s="149">
        <f>SUM(T150,T155,T161)</f>
        <v>246717</v>
      </c>
      <c r="I197" s="145"/>
      <c r="J197" s="291"/>
      <c r="L197" s="209"/>
    </row>
    <row r="198" spans="1:12" s="137" customFormat="1" ht="28.5" customHeight="1" x14ac:dyDescent="0.35">
      <c r="A198" s="292"/>
      <c r="B198" s="293"/>
      <c r="C198" s="293"/>
      <c r="D198" s="153"/>
      <c r="E198" s="142">
        <v>1169294</v>
      </c>
      <c r="F198" s="133" t="s">
        <v>212</v>
      </c>
      <c r="G198" s="133" t="s">
        <v>246</v>
      </c>
      <c r="H198" s="149">
        <f>SUM(U150,U155,U161)</f>
        <v>328956</v>
      </c>
      <c r="I198" s="145"/>
      <c r="J198" s="291"/>
      <c r="L198" s="209"/>
    </row>
    <row r="199" spans="1:12" s="137" customFormat="1" ht="28.5" customHeight="1" x14ac:dyDescent="0.35">
      <c r="A199" s="292"/>
      <c r="B199" s="293"/>
      <c r="C199" s="293"/>
      <c r="D199" s="153"/>
      <c r="E199" s="142">
        <v>1169324</v>
      </c>
      <c r="F199" s="133" t="s">
        <v>213</v>
      </c>
      <c r="G199" s="133" t="s">
        <v>247</v>
      </c>
      <c r="H199" s="149">
        <f>SUM(V150,V155,V161)</f>
        <v>388332.55800000002</v>
      </c>
      <c r="I199" s="145"/>
      <c r="J199" s="291"/>
      <c r="L199" s="209"/>
    </row>
    <row r="200" spans="1:12" s="137" customFormat="1" ht="28.5" customHeight="1" x14ac:dyDescent="0.35">
      <c r="A200" s="292"/>
      <c r="B200" s="293"/>
      <c r="C200" s="293"/>
      <c r="D200" s="153"/>
      <c r="E200" s="142"/>
      <c r="F200" s="134" t="s">
        <v>215</v>
      </c>
      <c r="G200" s="144"/>
      <c r="H200" s="146"/>
      <c r="I200" s="152">
        <f>SUM(Y155,Y161)</f>
        <v>0</v>
      </c>
      <c r="J200" s="291"/>
      <c r="L200" s="209"/>
    </row>
    <row r="201" spans="1:12" s="137" customFormat="1" ht="14.5" customHeight="1" x14ac:dyDescent="0.35">
      <c r="A201" s="292"/>
      <c r="B201" s="293"/>
      <c r="C201" s="293"/>
      <c r="D201" s="153"/>
      <c r="E201" s="285" t="s">
        <v>221</v>
      </c>
      <c r="F201" s="286"/>
      <c r="G201" s="287"/>
      <c r="H201" s="155"/>
      <c r="I201" s="156"/>
      <c r="L201" s="209"/>
    </row>
    <row r="202" spans="1:12" s="137" customFormat="1" ht="28.5" customHeight="1" x14ac:dyDescent="0.35">
      <c r="A202" s="292"/>
      <c r="B202" s="293"/>
      <c r="C202" s="293"/>
      <c r="D202" s="153"/>
      <c r="E202" s="142" t="s">
        <v>184</v>
      </c>
      <c r="F202" s="133" t="s">
        <v>185</v>
      </c>
      <c r="G202" s="133" t="s">
        <v>188</v>
      </c>
      <c r="H202" s="146">
        <f>F174</f>
        <v>0</v>
      </c>
      <c r="I202" s="145"/>
      <c r="J202" s="291" t="s">
        <v>252</v>
      </c>
      <c r="L202" s="209"/>
    </row>
    <row r="203" spans="1:12" s="137" customFormat="1" ht="28.5" customHeight="1" x14ac:dyDescent="0.35">
      <c r="A203" s="292"/>
      <c r="B203" s="293"/>
      <c r="C203" s="293"/>
      <c r="D203" s="153"/>
      <c r="E203" s="142" t="s">
        <v>191</v>
      </c>
      <c r="F203" s="133" t="s">
        <v>192</v>
      </c>
      <c r="G203" s="133" t="s">
        <v>193</v>
      </c>
      <c r="H203" s="146">
        <f>E178</f>
        <v>3125019.6</v>
      </c>
      <c r="I203" s="145"/>
      <c r="J203" s="291"/>
      <c r="L203" s="209"/>
    </row>
    <row r="204" spans="1:12" s="137" customFormat="1" ht="28.5" customHeight="1" x14ac:dyDescent="0.35">
      <c r="A204" s="292"/>
      <c r="B204" s="293"/>
      <c r="C204" s="293"/>
      <c r="D204" s="153"/>
      <c r="E204" s="142"/>
      <c r="F204" s="133" t="s">
        <v>206</v>
      </c>
      <c r="G204" s="133"/>
      <c r="H204" s="146">
        <f>E182</f>
        <v>0</v>
      </c>
      <c r="I204" s="145"/>
      <c r="J204" s="291"/>
      <c r="L204" s="209"/>
    </row>
    <row r="205" spans="1:12" s="137" customFormat="1" ht="28.5" customHeight="1" x14ac:dyDescent="0.35">
      <c r="A205" s="292"/>
      <c r="B205" s="293"/>
      <c r="C205" s="293"/>
      <c r="D205" s="153"/>
      <c r="E205" s="134" t="s">
        <v>195</v>
      </c>
      <c r="F205" s="134" t="s">
        <v>248</v>
      </c>
      <c r="G205" s="134" t="s">
        <v>251</v>
      </c>
      <c r="H205" s="145"/>
      <c r="I205" s="146">
        <f>(SUM(D46:D49))*F148</f>
        <v>23019750</v>
      </c>
      <c r="J205" s="291"/>
      <c r="L205" s="209"/>
    </row>
    <row r="206" spans="1:12" s="137" customFormat="1" hidden="1" x14ac:dyDescent="0.35">
      <c r="A206" s="292"/>
      <c r="B206" s="293"/>
      <c r="C206" s="293"/>
      <c r="D206" s="153"/>
      <c r="E206" s="285" t="s">
        <v>224</v>
      </c>
      <c r="F206" s="286"/>
      <c r="G206" s="287"/>
      <c r="H206" s="155"/>
      <c r="I206" s="156"/>
      <c r="L206" s="209"/>
    </row>
    <row r="207" spans="1:12" s="137" customFormat="1" ht="28.5" hidden="1" customHeight="1" x14ac:dyDescent="0.35">
      <c r="A207" s="292"/>
      <c r="B207" s="293"/>
      <c r="C207" s="293"/>
      <c r="D207" s="180"/>
      <c r="E207" s="181">
        <v>1207129</v>
      </c>
      <c r="F207" s="182" t="s">
        <v>187</v>
      </c>
      <c r="G207" s="182" t="s">
        <v>186</v>
      </c>
      <c r="H207" s="183">
        <f>G174</f>
        <v>0</v>
      </c>
      <c r="I207" s="184"/>
      <c r="J207" s="294" t="s">
        <v>216</v>
      </c>
      <c r="L207" s="209"/>
    </row>
    <row r="208" spans="1:12" s="137" customFormat="1" ht="28.5" hidden="1" customHeight="1" x14ac:dyDescent="0.35">
      <c r="A208" s="292"/>
      <c r="B208" s="293"/>
      <c r="C208" s="293"/>
      <c r="D208" s="180"/>
      <c r="E208" s="185"/>
      <c r="F208" s="186" t="s">
        <v>194</v>
      </c>
      <c r="G208" s="187"/>
      <c r="H208" s="183">
        <f>SUM(Y155,Y161)</f>
        <v>0</v>
      </c>
      <c r="I208" s="184"/>
      <c r="J208" s="294"/>
      <c r="L208" s="209"/>
    </row>
    <row r="209" spans="1:12" s="137" customFormat="1" x14ac:dyDescent="0.35">
      <c r="A209" s="292"/>
      <c r="B209" s="293"/>
      <c r="C209" s="293"/>
      <c r="D209" s="157"/>
      <c r="E209" s="285" t="s">
        <v>222</v>
      </c>
      <c r="F209" s="286"/>
      <c r="G209" s="287"/>
      <c r="H209" s="158"/>
      <c r="I209" s="159"/>
      <c r="J209" s="154"/>
      <c r="L209" s="209"/>
    </row>
    <row r="210" spans="1:12" s="137" customFormat="1" ht="28.5" customHeight="1" x14ac:dyDescent="0.35">
      <c r="A210" s="292"/>
      <c r="B210" s="293"/>
      <c r="C210" s="293"/>
      <c r="D210" s="153"/>
      <c r="E210" s="142">
        <v>1936155</v>
      </c>
      <c r="F210" s="133" t="s">
        <v>189</v>
      </c>
      <c r="G210" s="144" t="s">
        <v>190</v>
      </c>
      <c r="H210" s="146">
        <f>E186</f>
        <v>478102.5</v>
      </c>
      <c r="I210" s="145"/>
      <c r="J210" s="82" t="s">
        <v>217</v>
      </c>
      <c r="L210" s="209"/>
    </row>
    <row r="211" spans="1:12" s="137" customFormat="1" x14ac:dyDescent="0.35">
      <c r="A211" s="292"/>
      <c r="B211" s="293"/>
      <c r="C211" s="293"/>
      <c r="D211" s="160"/>
      <c r="E211" s="285" t="s">
        <v>223</v>
      </c>
      <c r="F211" s="286"/>
      <c r="G211" s="287"/>
      <c r="H211" s="161"/>
      <c r="I211" s="162"/>
      <c r="L211" s="209"/>
    </row>
    <row r="212" spans="1:12" s="137" customFormat="1" ht="28.5" customHeight="1" x14ac:dyDescent="0.35">
      <c r="A212" s="292"/>
      <c r="B212" s="293"/>
      <c r="C212" s="293"/>
      <c r="D212" s="153"/>
      <c r="E212" s="135">
        <v>75607</v>
      </c>
      <c r="F212" s="134" t="s">
        <v>196</v>
      </c>
      <c r="G212" s="133"/>
      <c r="H212" s="145"/>
      <c r="I212" s="146">
        <f>SUM(Q150,Q155,Q161)</f>
        <v>657912</v>
      </c>
      <c r="J212" s="249" t="s">
        <v>218</v>
      </c>
      <c r="L212" s="209"/>
    </row>
    <row r="213" spans="1:12" s="137" customFormat="1" ht="28.5" customHeight="1" x14ac:dyDescent="0.35">
      <c r="A213" s="292"/>
      <c r="B213" s="293"/>
      <c r="C213" s="293"/>
      <c r="D213" s="153"/>
      <c r="E213" s="135">
        <v>75610</v>
      </c>
      <c r="F213" s="134" t="s">
        <v>199</v>
      </c>
      <c r="G213" s="133"/>
      <c r="H213" s="145"/>
      <c r="I213" s="146">
        <f>SUM(R150,R155,R161)</f>
        <v>493434</v>
      </c>
      <c r="J213" s="249"/>
      <c r="L213" s="209"/>
    </row>
    <row r="214" spans="1:12" s="137" customFormat="1" ht="28.5" customHeight="1" x14ac:dyDescent="0.35">
      <c r="A214" s="292"/>
      <c r="B214" s="293"/>
      <c r="C214" s="293"/>
      <c r="D214" s="153"/>
      <c r="E214" s="135">
        <v>75608</v>
      </c>
      <c r="F214" s="134" t="s">
        <v>197</v>
      </c>
      <c r="G214" s="133"/>
      <c r="H214" s="145"/>
      <c r="I214" s="146">
        <f>SUM(S150,S155,S161)</f>
        <v>822390</v>
      </c>
      <c r="J214" s="249"/>
      <c r="L214" s="209"/>
    </row>
    <row r="215" spans="1:12" s="137" customFormat="1" ht="28.5" customHeight="1" x14ac:dyDescent="0.35">
      <c r="A215" s="292"/>
      <c r="B215" s="293"/>
      <c r="C215" s="293"/>
      <c r="D215" s="153"/>
      <c r="E215" s="135">
        <v>75609</v>
      </c>
      <c r="F215" s="134" t="s">
        <v>198</v>
      </c>
      <c r="G215" s="133"/>
      <c r="H215" s="145"/>
      <c r="I215" s="146">
        <f>SUM(T150,T155,T161)</f>
        <v>246717</v>
      </c>
      <c r="J215" s="249"/>
      <c r="L215" s="209"/>
    </row>
    <row r="216" spans="1:12" s="137" customFormat="1" ht="24" customHeight="1" x14ac:dyDescent="0.35">
      <c r="A216" s="292"/>
      <c r="B216" s="293"/>
      <c r="C216" s="293"/>
      <c r="D216" s="153"/>
      <c r="E216" s="135">
        <v>75611</v>
      </c>
      <c r="F216" s="134" t="s">
        <v>200</v>
      </c>
      <c r="G216" s="133"/>
      <c r="H216" s="145"/>
      <c r="I216" s="146">
        <f>SUM(U150,U155,U161)</f>
        <v>328956</v>
      </c>
      <c r="J216" s="249"/>
      <c r="L216" s="209"/>
    </row>
    <row r="217" spans="1:12" s="137" customFormat="1" x14ac:dyDescent="0.35">
      <c r="A217" s="292"/>
      <c r="B217" s="293"/>
      <c r="C217" s="293"/>
      <c r="D217" s="153"/>
      <c r="E217" s="135">
        <v>75612</v>
      </c>
      <c r="F217" s="134" t="s">
        <v>313</v>
      </c>
      <c r="G217" s="133"/>
      <c r="H217" s="145"/>
      <c r="I217" s="146">
        <f>SUM(V150,V155,V161)</f>
        <v>388332.55800000002</v>
      </c>
      <c r="J217" s="249"/>
      <c r="L217" s="209"/>
    </row>
    <row r="218" spans="1:12" s="137" customFormat="1" ht="24" customHeight="1" x14ac:dyDescent="0.35">
      <c r="A218" s="292"/>
      <c r="B218" s="293"/>
      <c r="C218" s="293"/>
      <c r="D218" s="153"/>
      <c r="E218" s="147"/>
      <c r="F218" s="147"/>
      <c r="G218" s="150"/>
      <c r="H218" s="148">
        <f>SUM(H193:H217)</f>
        <v>25957491.558000002</v>
      </c>
      <c r="I218" s="148">
        <f>SUM(I193:I217)</f>
        <v>25957491.557999998</v>
      </c>
      <c r="J218" s="151">
        <f>H218-I218</f>
        <v>0</v>
      </c>
      <c r="L218" s="209"/>
    </row>
    <row r="219" spans="1:12" s="137" customFormat="1" ht="24" customHeight="1" x14ac:dyDescent="0.35">
      <c r="A219" s="292"/>
      <c r="B219" s="293"/>
      <c r="C219" s="293"/>
      <c r="D219" s="153"/>
      <c r="E219" s="142" t="s">
        <v>201</v>
      </c>
      <c r="F219" s="133" t="s">
        <v>202</v>
      </c>
      <c r="G219" s="133"/>
      <c r="H219" s="146">
        <f>SUM(W148:W149,W155,W161)</f>
        <v>22354369.458000001</v>
      </c>
      <c r="I219" s="145"/>
      <c r="L219" s="209"/>
    </row>
    <row r="220" spans="1:12" s="137" customFormat="1" ht="24" customHeight="1" x14ac:dyDescent="0.35">
      <c r="A220" s="292"/>
      <c r="B220" s="293"/>
      <c r="C220" s="293"/>
      <c r="D220" s="153"/>
      <c r="E220" s="135">
        <v>1169873</v>
      </c>
      <c r="F220" s="134" t="s">
        <v>203</v>
      </c>
      <c r="G220" s="133"/>
      <c r="H220" s="145"/>
      <c r="I220" s="149">
        <f>SUM(H193:H199)</f>
        <v>22354369.458000001</v>
      </c>
      <c r="L220" s="209"/>
    </row>
    <row r="221" spans="1:12" s="137" customFormat="1" ht="24" customHeight="1" x14ac:dyDescent="0.35">
      <c r="A221" s="292"/>
      <c r="B221" s="293"/>
      <c r="C221" s="293"/>
      <c r="D221" s="153"/>
      <c r="E221" s="147"/>
      <c r="F221" s="147"/>
      <c r="G221" s="150"/>
      <c r="H221" s="148">
        <f>SUM(H219:H220)</f>
        <v>22354369.458000001</v>
      </c>
      <c r="I221" s="148">
        <f>SUM(I219:I220)</f>
        <v>22354369.458000001</v>
      </c>
      <c r="L221" s="209"/>
    </row>
    <row r="224" spans="1:12" x14ac:dyDescent="0.35">
      <c r="A224" s="69" t="s">
        <v>349</v>
      </c>
    </row>
    <row r="225" spans="1:12" x14ac:dyDescent="0.35">
      <c r="A225" s="288" t="s">
        <v>33</v>
      </c>
      <c r="B225" s="288" t="s">
        <v>177</v>
      </c>
      <c r="C225" s="288" t="s">
        <v>178</v>
      </c>
      <c r="D225" s="288" t="s">
        <v>179</v>
      </c>
      <c r="E225" s="289" t="s">
        <v>101</v>
      </c>
      <c r="F225" s="290"/>
      <c r="G225" s="290"/>
      <c r="H225" s="290"/>
      <c r="I225" s="290"/>
    </row>
    <row r="226" spans="1:12" x14ac:dyDescent="0.35">
      <c r="A226" s="288"/>
      <c r="B226" s="288"/>
      <c r="C226" s="288"/>
      <c r="D226" s="288"/>
      <c r="E226" s="138" t="s">
        <v>180</v>
      </c>
      <c r="F226" s="138" t="s">
        <v>181</v>
      </c>
      <c r="G226" s="136" t="s">
        <v>182</v>
      </c>
      <c r="H226" s="136" t="s">
        <v>102</v>
      </c>
      <c r="I226" s="136" t="s">
        <v>103</v>
      </c>
    </row>
    <row r="227" spans="1:12" x14ac:dyDescent="0.35">
      <c r="A227" s="136"/>
      <c r="B227" s="153"/>
      <c r="C227" s="153"/>
      <c r="D227" s="153"/>
      <c r="E227" s="285" t="s">
        <v>220</v>
      </c>
      <c r="F227" s="286"/>
      <c r="G227" s="287"/>
      <c r="H227" s="137"/>
      <c r="I227" s="137"/>
      <c r="J227" s="197"/>
    </row>
    <row r="228" spans="1:12" ht="14.5" customHeight="1" x14ac:dyDescent="0.35">
      <c r="A228" s="273">
        <v>1</v>
      </c>
      <c r="B228" s="276"/>
      <c r="C228" s="276"/>
      <c r="D228" s="267" t="s">
        <v>336</v>
      </c>
      <c r="E228" s="142">
        <v>75607</v>
      </c>
      <c r="F228" s="133" t="s">
        <v>196</v>
      </c>
      <c r="G228" s="133"/>
      <c r="H228" s="146">
        <f>+I212</f>
        <v>657912</v>
      </c>
      <c r="I228" s="145"/>
      <c r="J228" s="197"/>
    </row>
    <row r="229" spans="1:12" x14ac:dyDescent="0.35">
      <c r="A229" s="274"/>
      <c r="B229" s="277"/>
      <c r="C229" s="277"/>
      <c r="D229" s="268"/>
      <c r="E229" s="214">
        <v>1208224</v>
      </c>
      <c r="F229" s="227" t="s">
        <v>324</v>
      </c>
      <c r="G229" s="133"/>
      <c r="H229" s="146"/>
      <c r="I229" s="215">
        <v>595000</v>
      </c>
      <c r="J229" s="260" t="s">
        <v>338</v>
      </c>
      <c r="K229" s="261"/>
    </row>
    <row r="230" spans="1:12" ht="29" x14ac:dyDescent="0.35">
      <c r="A230" s="275"/>
      <c r="B230" s="278"/>
      <c r="C230" s="278"/>
      <c r="D230" s="269"/>
      <c r="E230" s="135">
        <v>1170969</v>
      </c>
      <c r="F230" s="134" t="s">
        <v>330</v>
      </c>
      <c r="G230" s="133"/>
      <c r="H230" s="230" t="s">
        <v>341</v>
      </c>
      <c r="I230" s="224">
        <f>+H228-I229</f>
        <v>62912</v>
      </c>
      <c r="J230" s="262" t="s">
        <v>347</v>
      </c>
      <c r="K230" s="263"/>
    </row>
    <row r="231" spans="1:12" x14ac:dyDescent="0.35">
      <c r="A231" s="217"/>
      <c r="B231" s="216"/>
      <c r="C231" s="216"/>
      <c r="D231" s="218"/>
      <c r="E231" s="219"/>
      <c r="F231" s="219"/>
      <c r="G231" s="219"/>
      <c r="H231" s="219"/>
      <c r="I231" s="220"/>
      <c r="J231" s="197"/>
    </row>
    <row r="232" spans="1:12" ht="19" customHeight="1" x14ac:dyDescent="0.35">
      <c r="A232" s="273">
        <v>4</v>
      </c>
      <c r="B232" s="276"/>
      <c r="C232" s="276"/>
      <c r="D232" s="267" t="s">
        <v>336</v>
      </c>
      <c r="E232" s="142">
        <v>75610</v>
      </c>
      <c r="F232" s="228" t="s">
        <v>199</v>
      </c>
      <c r="G232" s="133"/>
      <c r="H232" s="146">
        <f>+I213</f>
        <v>493434</v>
      </c>
      <c r="I232" s="145"/>
      <c r="J232" s="197"/>
    </row>
    <row r="233" spans="1:12" x14ac:dyDescent="0.35">
      <c r="A233" s="274"/>
      <c r="B233" s="277"/>
      <c r="C233" s="277"/>
      <c r="D233" s="268"/>
      <c r="E233" s="226">
        <v>1210051</v>
      </c>
      <c r="F233" s="225" t="s">
        <v>329</v>
      </c>
      <c r="G233" s="133"/>
      <c r="H233" s="146"/>
      <c r="I233" s="215">
        <v>546000</v>
      </c>
      <c r="J233" s="197" t="s">
        <v>339</v>
      </c>
    </row>
    <row r="234" spans="1:12" ht="33.5" customHeight="1" x14ac:dyDescent="0.35">
      <c r="A234" s="275"/>
      <c r="B234" s="278"/>
      <c r="C234" s="278"/>
      <c r="D234" s="269"/>
      <c r="E234" s="233">
        <v>1170972</v>
      </c>
      <c r="F234" s="234" t="s">
        <v>333</v>
      </c>
      <c r="G234" s="133"/>
      <c r="H234" s="146">
        <f>+I233-H232</f>
        <v>52566</v>
      </c>
      <c r="I234" s="224"/>
      <c r="J234" s="262" t="s">
        <v>348</v>
      </c>
      <c r="K234" s="263"/>
    </row>
    <row r="235" spans="1:12" x14ac:dyDescent="0.35">
      <c r="A235" s="282"/>
      <c r="B235" s="283"/>
      <c r="C235" s="283"/>
      <c r="D235" s="283"/>
      <c r="E235" s="283"/>
      <c r="F235" s="283"/>
      <c r="G235" s="283"/>
      <c r="H235" s="283"/>
      <c r="I235" s="284"/>
    </row>
    <row r="236" spans="1:12" ht="29" x14ac:dyDescent="0.35">
      <c r="A236" s="273">
        <v>2</v>
      </c>
      <c r="B236" s="276"/>
      <c r="C236" s="276"/>
      <c r="D236" s="267" t="s">
        <v>336</v>
      </c>
      <c r="E236" s="142">
        <v>75608</v>
      </c>
      <c r="F236" s="221" t="s">
        <v>197</v>
      </c>
      <c r="G236" s="133"/>
      <c r="H236" s="146">
        <f>+I214</f>
        <v>822390</v>
      </c>
      <c r="I236" s="145"/>
      <c r="J236" s="212"/>
      <c r="L236" s="210"/>
    </row>
    <row r="237" spans="1:12" ht="29" x14ac:dyDescent="0.35">
      <c r="A237" s="274"/>
      <c r="B237" s="277"/>
      <c r="C237" s="277"/>
      <c r="D237" s="268"/>
      <c r="E237" s="226">
        <v>1208590</v>
      </c>
      <c r="F237" s="232" t="s">
        <v>325</v>
      </c>
      <c r="G237" s="133"/>
      <c r="H237" s="146"/>
      <c r="I237" s="215">
        <v>874000</v>
      </c>
      <c r="J237" s="229" t="s">
        <v>340</v>
      </c>
      <c r="L237" s="210"/>
    </row>
    <row r="238" spans="1:12" ht="29" x14ac:dyDescent="0.35">
      <c r="A238" s="275"/>
      <c r="B238" s="278"/>
      <c r="C238" s="278"/>
      <c r="D238" s="269"/>
      <c r="E238" s="142">
        <v>1170970</v>
      </c>
      <c r="F238" s="221" t="s">
        <v>331</v>
      </c>
      <c r="G238" s="133"/>
      <c r="H238" s="146">
        <f>+I237-H236</f>
        <v>51610</v>
      </c>
      <c r="I238" s="145"/>
      <c r="J238" s="262" t="s">
        <v>342</v>
      </c>
      <c r="K238" s="263"/>
    </row>
    <row r="239" spans="1:12" x14ac:dyDescent="0.35">
      <c r="A239" s="279">
        <f>SUM(Y190,Y196)</f>
        <v>0</v>
      </c>
      <c r="B239" s="280"/>
      <c r="C239" s="280"/>
      <c r="D239" s="280"/>
      <c r="E239" s="280"/>
      <c r="F239" s="280"/>
      <c r="G239" s="280"/>
      <c r="H239" s="280"/>
      <c r="I239" s="281"/>
      <c r="J239" s="212"/>
      <c r="L239" s="210"/>
    </row>
    <row r="240" spans="1:12" x14ac:dyDescent="0.35">
      <c r="A240" s="273">
        <v>3</v>
      </c>
      <c r="B240" s="276"/>
      <c r="C240" s="276"/>
      <c r="D240" s="267" t="s">
        <v>336</v>
      </c>
      <c r="E240" s="142">
        <v>75609</v>
      </c>
      <c r="F240" s="221" t="s">
        <v>198</v>
      </c>
      <c r="G240" s="133"/>
      <c r="H240" s="146">
        <f>+I215</f>
        <v>246717</v>
      </c>
      <c r="I240" s="145"/>
      <c r="J240" s="210"/>
      <c r="L240" s="210"/>
    </row>
    <row r="241" spans="1:12" x14ac:dyDescent="0.35">
      <c r="A241" s="274"/>
      <c r="B241" s="277"/>
      <c r="C241" s="277"/>
      <c r="D241" s="268"/>
      <c r="E241" s="222">
        <v>1208955</v>
      </c>
      <c r="F241" s="81" t="s">
        <v>326</v>
      </c>
      <c r="G241" s="133"/>
      <c r="H241" s="146"/>
      <c r="I241" s="215">
        <v>210500</v>
      </c>
      <c r="J241" s="213" t="s">
        <v>343</v>
      </c>
      <c r="K241" s="38"/>
      <c r="L241" s="211"/>
    </row>
    <row r="242" spans="1:12" ht="29" x14ac:dyDescent="0.35">
      <c r="A242" s="275"/>
      <c r="B242" s="278"/>
      <c r="C242" s="278"/>
      <c r="D242" s="269"/>
      <c r="E242" s="135">
        <v>1170971</v>
      </c>
      <c r="F242" s="235" t="s">
        <v>332</v>
      </c>
      <c r="G242" s="133"/>
      <c r="H242" s="146">
        <v>0</v>
      </c>
      <c r="I242" s="224">
        <f>+H240-I241</f>
        <v>36217</v>
      </c>
      <c r="J242" s="262" t="s">
        <v>346</v>
      </c>
      <c r="K242" s="263"/>
      <c r="L242" s="211"/>
    </row>
    <row r="243" spans="1:12" x14ac:dyDescent="0.3">
      <c r="A243" s="264"/>
      <c r="B243" s="265"/>
      <c r="C243" s="265"/>
      <c r="D243" s="265"/>
      <c r="E243" s="265"/>
      <c r="F243" s="265"/>
      <c r="G243" s="265"/>
      <c r="H243" s="265"/>
      <c r="I243" s="266"/>
      <c r="J243" s="213"/>
      <c r="K243" s="38"/>
      <c r="L243" s="211"/>
    </row>
    <row r="244" spans="1:12" x14ac:dyDescent="0.35">
      <c r="A244" s="273">
        <v>5</v>
      </c>
      <c r="B244" s="276"/>
      <c r="C244" s="276"/>
      <c r="D244" s="267" t="s">
        <v>336</v>
      </c>
      <c r="E244" s="142">
        <v>75611</v>
      </c>
      <c r="F244" s="133" t="s">
        <v>200</v>
      </c>
      <c r="G244" s="133"/>
      <c r="H244" s="146">
        <f>+I216</f>
        <v>328956</v>
      </c>
      <c r="I244" s="145"/>
      <c r="J244" s="213"/>
      <c r="K244" s="38"/>
      <c r="L244" s="211"/>
    </row>
    <row r="245" spans="1:12" x14ac:dyDescent="0.35">
      <c r="A245" s="274"/>
      <c r="B245" s="277"/>
      <c r="C245" s="277"/>
      <c r="D245" s="268"/>
      <c r="E245" s="226">
        <v>1209320</v>
      </c>
      <c r="F245" s="225" t="s">
        <v>327</v>
      </c>
      <c r="G245" s="133"/>
      <c r="H245" s="146"/>
      <c r="I245" s="215">
        <v>425000</v>
      </c>
      <c r="J245" s="213" t="s">
        <v>344</v>
      </c>
      <c r="K245" s="38"/>
      <c r="L245" s="211"/>
    </row>
    <row r="246" spans="1:12" ht="29" x14ac:dyDescent="0.35">
      <c r="A246" s="275"/>
      <c r="B246" s="278"/>
      <c r="C246" s="278"/>
      <c r="D246" s="269"/>
      <c r="E246" s="142">
        <v>1170973</v>
      </c>
      <c r="F246" s="133" t="s">
        <v>334</v>
      </c>
      <c r="G246" s="133"/>
      <c r="H246" s="146">
        <f>+I245-H244</f>
        <v>96044</v>
      </c>
      <c r="I246" s="145"/>
      <c r="J246" s="262" t="s">
        <v>345</v>
      </c>
      <c r="K246" s="263"/>
      <c r="L246" s="211"/>
    </row>
    <row r="247" spans="1:12" x14ac:dyDescent="0.3">
      <c r="A247" s="264"/>
      <c r="B247" s="265"/>
      <c r="C247" s="265"/>
      <c r="D247" s="265"/>
      <c r="E247" s="265"/>
      <c r="F247" s="265"/>
      <c r="G247" s="265"/>
      <c r="H247" s="265"/>
      <c r="I247" s="266"/>
      <c r="J247" s="213"/>
      <c r="K247" s="38"/>
      <c r="L247" s="211"/>
    </row>
    <row r="248" spans="1:12" x14ac:dyDescent="0.35">
      <c r="A248" s="273">
        <v>6</v>
      </c>
      <c r="B248" s="276"/>
      <c r="C248" s="276"/>
      <c r="D248" s="267" t="s">
        <v>336</v>
      </c>
      <c r="E248" s="142">
        <v>75612</v>
      </c>
      <c r="F248" s="133" t="s">
        <v>313</v>
      </c>
      <c r="G248" s="133"/>
      <c r="H248" s="146">
        <f>+I217</f>
        <v>388332.55800000002</v>
      </c>
      <c r="I248" s="145"/>
      <c r="J248" s="258" t="s">
        <v>337</v>
      </c>
      <c r="K248" s="259"/>
      <c r="L248" s="210"/>
    </row>
    <row r="249" spans="1:12" x14ac:dyDescent="0.35">
      <c r="A249" s="274"/>
      <c r="B249" s="277"/>
      <c r="C249" s="277"/>
      <c r="D249" s="268"/>
      <c r="E249" s="231">
        <v>1209685</v>
      </c>
      <c r="F249" s="232" t="s">
        <v>328</v>
      </c>
      <c r="G249" s="133"/>
      <c r="H249" s="146"/>
      <c r="I249" s="146">
        <f>+H248</f>
        <v>388332.55800000002</v>
      </c>
      <c r="J249" s="258"/>
      <c r="K249" s="259"/>
      <c r="L249" s="210"/>
    </row>
    <row r="250" spans="1:12" ht="29" x14ac:dyDescent="0.35">
      <c r="A250" s="275"/>
      <c r="B250" s="278"/>
      <c r="C250" s="278"/>
      <c r="D250" s="269"/>
      <c r="E250" s="142">
        <v>1170974</v>
      </c>
      <c r="F250" s="133" t="s">
        <v>335</v>
      </c>
      <c r="G250" s="133"/>
      <c r="H250" s="146">
        <f>+H248-I249</f>
        <v>0</v>
      </c>
      <c r="I250" s="145"/>
      <c r="J250" s="258"/>
      <c r="K250" s="259"/>
      <c r="L250" s="210"/>
    </row>
    <row r="251" spans="1:12" x14ac:dyDescent="0.35">
      <c r="A251" s="217"/>
      <c r="B251" s="216"/>
      <c r="C251" s="216"/>
      <c r="D251" s="270"/>
      <c r="E251" s="271"/>
      <c r="F251" s="271"/>
      <c r="G251" s="271"/>
      <c r="H251" s="271"/>
      <c r="I251" s="272"/>
      <c r="L251" s="210"/>
    </row>
    <row r="254" spans="1:12" x14ac:dyDescent="0.35">
      <c r="H254" s="223"/>
    </row>
  </sheetData>
  <mergeCells count="86">
    <mergeCell ref="E22:F22"/>
    <mergeCell ref="G22:H22"/>
    <mergeCell ref="A35:L35"/>
    <mergeCell ref="D44:F44"/>
    <mergeCell ref="A3:L3"/>
    <mergeCell ref="B11:C11"/>
    <mergeCell ref="D13:E13"/>
    <mergeCell ref="F13:G13"/>
    <mergeCell ref="H13:K13"/>
    <mergeCell ref="G17:H17"/>
    <mergeCell ref="I17:J17"/>
    <mergeCell ref="C119:E119"/>
    <mergeCell ref="D128:G128"/>
    <mergeCell ref="D129:G129"/>
    <mergeCell ref="H132:J132"/>
    <mergeCell ref="H134:H137"/>
    <mergeCell ref="I134:I137"/>
    <mergeCell ref="J134:J137"/>
    <mergeCell ref="P146:W146"/>
    <mergeCell ref="G153:N153"/>
    <mergeCell ref="G159:N159"/>
    <mergeCell ref="P153:W153"/>
    <mergeCell ref="P159:W159"/>
    <mergeCell ref="E190:I190"/>
    <mergeCell ref="E192:G192"/>
    <mergeCell ref="A188:J188"/>
    <mergeCell ref="A144:L144"/>
    <mergeCell ref="G146:N146"/>
    <mergeCell ref="J202:J205"/>
    <mergeCell ref="H44:I44"/>
    <mergeCell ref="A193:A221"/>
    <mergeCell ref="B193:B221"/>
    <mergeCell ref="C193:C221"/>
    <mergeCell ref="J193:J200"/>
    <mergeCell ref="E201:G201"/>
    <mergeCell ref="E206:G206"/>
    <mergeCell ref="J207:J208"/>
    <mergeCell ref="E209:G209"/>
    <mergeCell ref="E211:G211"/>
    <mergeCell ref="J212:J217"/>
    <mergeCell ref="A190:A191"/>
    <mergeCell ref="B190:B191"/>
    <mergeCell ref="C190:C191"/>
    <mergeCell ref="D190:D191"/>
    <mergeCell ref="A225:A226"/>
    <mergeCell ref="B225:B226"/>
    <mergeCell ref="C225:C226"/>
    <mergeCell ref="D225:D226"/>
    <mergeCell ref="E225:I225"/>
    <mergeCell ref="E227:G227"/>
    <mergeCell ref="A228:A230"/>
    <mergeCell ref="B228:B230"/>
    <mergeCell ref="C228:C230"/>
    <mergeCell ref="D228:D230"/>
    <mergeCell ref="D236:D238"/>
    <mergeCell ref="A239:I239"/>
    <mergeCell ref="D232:D234"/>
    <mergeCell ref="D244:D246"/>
    <mergeCell ref="A232:A234"/>
    <mergeCell ref="B232:B234"/>
    <mergeCell ref="C232:C234"/>
    <mergeCell ref="A240:A242"/>
    <mergeCell ref="B240:B242"/>
    <mergeCell ref="C240:C242"/>
    <mergeCell ref="D240:D242"/>
    <mergeCell ref="A235:I235"/>
    <mergeCell ref="A236:A238"/>
    <mergeCell ref="B236:B238"/>
    <mergeCell ref="C236:C238"/>
    <mergeCell ref="A243:I243"/>
    <mergeCell ref="A247:I247"/>
    <mergeCell ref="D248:D250"/>
    <mergeCell ref="D251:I251"/>
    <mergeCell ref="A244:A246"/>
    <mergeCell ref="B244:B246"/>
    <mergeCell ref="C244:C246"/>
    <mergeCell ref="A248:A250"/>
    <mergeCell ref="B248:B250"/>
    <mergeCell ref="C248:C250"/>
    <mergeCell ref="J248:K250"/>
    <mergeCell ref="J229:K229"/>
    <mergeCell ref="J230:K230"/>
    <mergeCell ref="J234:K234"/>
    <mergeCell ref="J238:K238"/>
    <mergeCell ref="J242:K242"/>
    <mergeCell ref="J246:K24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30F83-E7FB-40C6-A1C3-BE41307FB9B6}">
  <sheetPr>
    <tabColor rgb="FFFFFF00"/>
  </sheetPr>
  <dimension ref="A1:AG258"/>
  <sheetViews>
    <sheetView topLeftCell="A37" zoomScale="85" zoomScaleNormal="85" workbookViewId="0">
      <selection activeCell="E19" sqref="E19"/>
    </sheetView>
  </sheetViews>
  <sheetFormatPr defaultRowHeight="14.5" x14ac:dyDescent="0.35"/>
  <cols>
    <col min="1" max="1" width="11.26953125" style="1" customWidth="1"/>
    <col min="2" max="2" width="18.54296875" style="1" customWidth="1"/>
    <col min="3" max="3" width="25.81640625" style="1" customWidth="1"/>
    <col min="4" max="4" width="17.90625" style="1" bestFit="1" customWidth="1"/>
    <col min="5" max="5" width="15" style="1" customWidth="1"/>
    <col min="6" max="6" width="28.36328125" style="1" customWidth="1"/>
    <col min="7" max="7" width="36.08984375" style="1" customWidth="1"/>
    <col min="8" max="8" width="16.453125" style="1" customWidth="1"/>
    <col min="9" max="9" width="16.1796875" style="1" bestFit="1" customWidth="1"/>
    <col min="10" max="10" width="13.08984375" style="1" customWidth="1"/>
    <col min="11" max="11" width="54.453125" style="1" customWidth="1"/>
    <col min="12" max="12" width="14.1796875" style="197" customWidth="1"/>
    <col min="13" max="13" width="17.1796875" style="1" customWidth="1"/>
    <col min="14" max="14" width="15.36328125" style="1" customWidth="1"/>
    <col min="15" max="15" width="14.08984375" style="1" customWidth="1"/>
    <col min="16" max="16" width="14.6328125" style="1" bestFit="1" customWidth="1"/>
    <col min="17" max="17" width="11.81640625" style="1" bestFit="1" customWidth="1"/>
    <col min="18" max="18" width="14.90625" style="1" customWidth="1"/>
    <col min="19" max="19" width="15.453125" style="1" customWidth="1"/>
    <col min="20" max="20" width="12" style="1" customWidth="1"/>
    <col min="21" max="21" width="12.7265625" style="1" customWidth="1"/>
    <col min="22" max="22" width="13" style="1" customWidth="1"/>
    <col min="23" max="23" width="14.36328125" style="1" customWidth="1"/>
    <col min="24" max="24" width="13.81640625" style="1" customWidth="1"/>
    <col min="25" max="25" width="10.81640625" style="1" bestFit="1" customWidth="1"/>
    <col min="26" max="27" width="11.08984375" style="1" customWidth="1"/>
    <col min="28" max="16384" width="8.7265625" style="1"/>
  </cols>
  <sheetData>
    <row r="1" spans="1:12" x14ac:dyDescent="0.35">
      <c r="A1" s="69" t="s">
        <v>147</v>
      </c>
    </row>
    <row r="3" spans="1:12" x14ac:dyDescent="0.35">
      <c r="A3" s="248" t="s">
        <v>121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4" spans="1:12" x14ac:dyDescent="0.35">
      <c r="A4" s="69">
        <v>1</v>
      </c>
      <c r="B4" s="69" t="s">
        <v>110</v>
      </c>
    </row>
    <row r="5" spans="1:12" x14ac:dyDescent="0.35">
      <c r="G5" s="73" t="s">
        <v>108</v>
      </c>
    </row>
    <row r="6" spans="1:12" x14ac:dyDescent="0.35">
      <c r="B6" s="70" t="s">
        <v>33</v>
      </c>
      <c r="C6" s="70" t="s">
        <v>65</v>
      </c>
      <c r="D6" s="70" t="s">
        <v>104</v>
      </c>
      <c r="E6" s="70" t="s">
        <v>105</v>
      </c>
      <c r="F6" s="70" t="s">
        <v>106</v>
      </c>
      <c r="G6" s="70" t="s">
        <v>107</v>
      </c>
      <c r="H6" s="70" t="s">
        <v>10</v>
      </c>
    </row>
    <row r="7" spans="1:12" x14ac:dyDescent="0.35">
      <c r="B7" s="79"/>
      <c r="C7" s="79"/>
      <c r="D7" s="72"/>
      <c r="E7" s="72"/>
      <c r="F7" s="71"/>
      <c r="G7" s="71"/>
      <c r="H7" s="79"/>
    </row>
    <row r="9" spans="1:12" x14ac:dyDescent="0.35">
      <c r="A9" s="69">
        <v>2</v>
      </c>
      <c r="B9" s="69" t="s">
        <v>109</v>
      </c>
    </row>
    <row r="11" spans="1:12" x14ac:dyDescent="0.35">
      <c r="B11" s="241" t="s">
        <v>134</v>
      </c>
      <c r="C11" s="241"/>
      <c r="D11" s="73" t="s">
        <v>113</v>
      </c>
    </row>
    <row r="13" spans="1:12" x14ac:dyDescent="0.35">
      <c r="D13" s="306" t="s">
        <v>140</v>
      </c>
      <c r="E13" s="306"/>
      <c r="F13" s="250" t="s">
        <v>141</v>
      </c>
      <c r="G13" s="250"/>
      <c r="H13" s="307" t="s">
        <v>142</v>
      </c>
      <c r="I13" s="308"/>
      <c r="J13" s="308"/>
      <c r="K13" s="308"/>
    </row>
    <row r="14" spans="1:12" x14ac:dyDescent="0.35">
      <c r="B14" s="10" t="s">
        <v>11</v>
      </c>
      <c r="C14" s="61" t="s">
        <v>114</v>
      </c>
      <c r="D14" s="165" t="s">
        <v>148</v>
      </c>
      <c r="E14" s="165" t="s">
        <v>115</v>
      </c>
      <c r="F14" s="164" t="s">
        <v>135</v>
      </c>
      <c r="G14" s="164" t="s">
        <v>146</v>
      </c>
      <c r="H14" s="100" t="s">
        <v>115</v>
      </c>
      <c r="I14" s="101" t="s">
        <v>135</v>
      </c>
      <c r="J14" s="100" t="s">
        <v>115</v>
      </c>
      <c r="K14" s="101" t="s">
        <v>135</v>
      </c>
    </row>
    <row r="15" spans="1:12" x14ac:dyDescent="0.35">
      <c r="B15" s="41"/>
      <c r="C15" s="41"/>
      <c r="D15" s="41">
        <v>3900</v>
      </c>
      <c r="E15" s="41">
        <v>3910</v>
      </c>
      <c r="F15" s="99">
        <v>3900</v>
      </c>
      <c r="G15" s="99">
        <v>3910</v>
      </c>
      <c r="H15" s="11">
        <f>D15-F15</f>
        <v>0</v>
      </c>
      <c r="I15" s="11">
        <f>E15-G15</f>
        <v>0</v>
      </c>
      <c r="J15" s="102">
        <f>H15/F15</f>
        <v>0</v>
      </c>
      <c r="K15" s="102">
        <f>I15/G15</f>
        <v>0</v>
      </c>
    </row>
    <row r="17" spans="1:33" x14ac:dyDescent="0.35">
      <c r="G17" s="309" t="s">
        <v>140</v>
      </c>
      <c r="H17" s="310"/>
      <c r="I17" s="311" t="s">
        <v>141</v>
      </c>
      <c r="J17" s="312"/>
    </row>
    <row r="18" spans="1:33" ht="26" x14ac:dyDescent="0.35">
      <c r="B18" s="8" t="s">
        <v>65</v>
      </c>
      <c r="C18" s="8" t="s">
        <v>65</v>
      </c>
      <c r="D18" s="8" t="s">
        <v>119</v>
      </c>
      <c r="E18" s="8" t="s">
        <v>111</v>
      </c>
      <c r="F18" s="10" t="s">
        <v>112</v>
      </c>
      <c r="G18" s="163" t="s">
        <v>143</v>
      </c>
      <c r="H18" s="163" t="s">
        <v>144</v>
      </c>
      <c r="I18" s="103" t="s">
        <v>143</v>
      </c>
      <c r="J18" s="103" t="s">
        <v>144</v>
      </c>
    </row>
    <row r="19" spans="1:33" s="197" customFormat="1" ht="43.5" x14ac:dyDescent="0.35">
      <c r="A19" s="1"/>
      <c r="B19" s="315">
        <v>1</v>
      </c>
      <c r="C19" s="97" t="s">
        <v>120</v>
      </c>
      <c r="D19" s="97" t="s">
        <v>160</v>
      </c>
      <c r="E19" s="96" t="s">
        <v>136</v>
      </c>
      <c r="F19" s="74">
        <v>8</v>
      </c>
      <c r="G19" s="313">
        <f>(F19/(SUM($F$19:$F$19)))*$D$15</f>
        <v>3900</v>
      </c>
      <c r="H19" s="313">
        <f>(F19/(SUM($F$19:$F$19)))*$E$15</f>
        <v>3910</v>
      </c>
      <c r="I19" s="313">
        <f>(F19/(SUM($F$19:$F$19)))*$F$15</f>
        <v>3900</v>
      </c>
      <c r="J19" s="313">
        <f>(F19/(SUM($F$19:$F$19)))*$G$15</f>
        <v>3910</v>
      </c>
      <c r="K19" s="95" t="s">
        <v>116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1:33" s="197" customFormat="1" ht="43.5" x14ac:dyDescent="0.35">
      <c r="A20" s="1"/>
      <c r="B20" s="316"/>
      <c r="C20" s="97" t="s">
        <v>120</v>
      </c>
      <c r="D20" s="97" t="s">
        <v>350</v>
      </c>
      <c r="E20" s="96" t="s">
        <v>351</v>
      </c>
      <c r="F20" s="238">
        <v>3</v>
      </c>
      <c r="G20" s="314"/>
      <c r="H20" s="314"/>
      <c r="I20" s="314"/>
      <c r="J20" s="314"/>
      <c r="K20" s="76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x14ac:dyDescent="0.35">
      <c r="F21" s="239">
        <f>SUM(F19:F20)</f>
        <v>11</v>
      </c>
      <c r="G21" s="121">
        <f>G19/F21</f>
        <v>354.54545454545456</v>
      </c>
      <c r="H21" s="121">
        <f>H19/F21</f>
        <v>355.45454545454544</v>
      </c>
      <c r="I21" s="121">
        <f>I19/F21</f>
        <v>354.54545454545456</v>
      </c>
      <c r="J21" s="121">
        <f>J19/F21</f>
        <v>355.45454545454544</v>
      </c>
    </row>
    <row r="22" spans="1:33" s="197" customFormat="1" x14ac:dyDescent="0.35">
      <c r="A22" s="1"/>
      <c r="B22" s="78" t="s">
        <v>253</v>
      </c>
      <c r="C22" s="77"/>
      <c r="D22" s="77"/>
      <c r="E22" s="77"/>
      <c r="F22" s="1"/>
      <c r="G22" s="1"/>
      <c r="H22" s="1"/>
      <c r="I22" s="1"/>
      <c r="J22" s="1"/>
      <c r="K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s="197" customFormat="1" x14ac:dyDescent="0.35">
      <c r="A23" s="1"/>
      <c r="B23" s="78"/>
      <c r="C23" s="77"/>
      <c r="D23" s="77"/>
      <c r="E23" s="249" t="s">
        <v>140</v>
      </c>
      <c r="F23" s="249"/>
      <c r="G23" s="250" t="s">
        <v>145</v>
      </c>
      <c r="H23" s="250"/>
      <c r="I23" s="1"/>
      <c r="J23" s="1"/>
      <c r="K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s="197" customFormat="1" ht="26" x14ac:dyDescent="0.35">
      <c r="A24" s="1"/>
      <c r="B24" s="10" t="s">
        <v>65</v>
      </c>
      <c r="C24" s="10" t="s">
        <v>104</v>
      </c>
      <c r="D24" s="10" t="s">
        <v>117</v>
      </c>
      <c r="E24" s="10" t="s">
        <v>118</v>
      </c>
      <c r="F24" s="10" t="s">
        <v>122</v>
      </c>
      <c r="G24" s="103" t="s">
        <v>118</v>
      </c>
      <c r="H24" s="103" t="s">
        <v>122</v>
      </c>
      <c r="I24" s="1"/>
      <c r="J24" s="1"/>
      <c r="K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s="197" customFormat="1" x14ac:dyDescent="0.35">
      <c r="A25" s="1"/>
      <c r="B25" s="75">
        <v>1</v>
      </c>
      <c r="C25" s="71" t="s">
        <v>136</v>
      </c>
      <c r="D25" s="83" t="str">
        <f>C25&amp;"-"&amp;"BC"&amp;"."&amp;1</f>
        <v>DEBDA0319-T1-BC.1</v>
      </c>
      <c r="E25" s="178">
        <f>$G$21</f>
        <v>354.54545454545456</v>
      </c>
      <c r="F25" s="178">
        <f>$H$21</f>
        <v>355.45454545454544</v>
      </c>
      <c r="G25" s="240">
        <f>$I$21</f>
        <v>354.54545454545456</v>
      </c>
      <c r="H25" s="240">
        <f>$J$21</f>
        <v>355.45454545454544</v>
      </c>
      <c r="I25" s="1"/>
      <c r="J25" s="1"/>
      <c r="K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s="197" customFormat="1" x14ac:dyDescent="0.35">
      <c r="A26" s="1"/>
      <c r="B26" s="75">
        <v>1</v>
      </c>
      <c r="C26" s="71" t="s">
        <v>136</v>
      </c>
      <c r="D26" s="83" t="str">
        <f>C26&amp;"-"&amp;"BC"&amp;"."&amp;2</f>
        <v>DEBDA0319-T1-BC.2</v>
      </c>
      <c r="E26" s="178">
        <f t="shared" ref="E26:E35" si="0">$G$21</f>
        <v>354.54545454545456</v>
      </c>
      <c r="F26" s="178">
        <f t="shared" ref="F26:F35" si="1">$H$21</f>
        <v>355.45454545454544</v>
      </c>
      <c r="G26" s="240">
        <f t="shared" ref="G26:G35" si="2">$I$21</f>
        <v>354.54545454545456</v>
      </c>
      <c r="H26" s="240">
        <f t="shared" ref="H26:H35" si="3">$J$21</f>
        <v>355.45454545454544</v>
      </c>
      <c r="I26" s="1"/>
      <c r="J26" s="1"/>
      <c r="K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s="197" customFormat="1" x14ac:dyDescent="0.35">
      <c r="A27" s="1"/>
      <c r="B27" s="75">
        <v>1</v>
      </c>
      <c r="C27" s="71" t="s">
        <v>136</v>
      </c>
      <c r="D27" s="83" t="str">
        <f>C27&amp;"-"&amp;"BC"&amp;"."&amp;3</f>
        <v>DEBDA0319-T1-BC.3</v>
      </c>
      <c r="E27" s="178">
        <f t="shared" si="0"/>
        <v>354.54545454545456</v>
      </c>
      <c r="F27" s="178">
        <f t="shared" si="1"/>
        <v>355.45454545454544</v>
      </c>
      <c r="G27" s="240">
        <f t="shared" si="2"/>
        <v>354.54545454545456</v>
      </c>
      <c r="H27" s="240">
        <f t="shared" si="3"/>
        <v>355.45454545454544</v>
      </c>
      <c r="I27" s="1"/>
      <c r="J27" s="1"/>
      <c r="K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s="197" customFormat="1" x14ac:dyDescent="0.35">
      <c r="A28" s="1"/>
      <c r="B28" s="75">
        <v>1</v>
      </c>
      <c r="C28" s="71" t="s">
        <v>136</v>
      </c>
      <c r="D28" s="83" t="str">
        <f>C28&amp;"-"&amp;"BC"&amp;"."&amp;4</f>
        <v>DEBDA0319-T1-BC.4</v>
      </c>
      <c r="E28" s="178">
        <f t="shared" si="0"/>
        <v>354.54545454545456</v>
      </c>
      <c r="F28" s="178">
        <f t="shared" si="1"/>
        <v>355.45454545454544</v>
      </c>
      <c r="G28" s="240">
        <f t="shared" si="2"/>
        <v>354.54545454545456</v>
      </c>
      <c r="H28" s="240">
        <f t="shared" si="3"/>
        <v>355.45454545454544</v>
      </c>
      <c r="I28" s="1"/>
      <c r="J28" s="1"/>
      <c r="K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s="197" customFormat="1" x14ac:dyDescent="0.35">
      <c r="A29" s="1"/>
      <c r="B29" s="75">
        <v>1</v>
      </c>
      <c r="C29" s="71" t="s">
        <v>136</v>
      </c>
      <c r="D29" s="83" t="str">
        <f>C29&amp;"-"&amp;"BC"&amp;"."&amp;5</f>
        <v>DEBDA0319-T1-BC.5</v>
      </c>
      <c r="E29" s="178">
        <f t="shared" si="0"/>
        <v>354.54545454545456</v>
      </c>
      <c r="F29" s="178">
        <f t="shared" si="1"/>
        <v>355.45454545454544</v>
      </c>
      <c r="G29" s="240">
        <f t="shared" si="2"/>
        <v>354.54545454545456</v>
      </c>
      <c r="H29" s="240">
        <f t="shared" si="3"/>
        <v>355.45454545454544</v>
      </c>
      <c r="I29" s="1"/>
      <c r="J29" s="1"/>
      <c r="K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s="197" customFormat="1" x14ac:dyDescent="0.35">
      <c r="A30" s="1"/>
      <c r="B30" s="75">
        <v>1</v>
      </c>
      <c r="C30" s="71" t="s">
        <v>136</v>
      </c>
      <c r="D30" s="83" t="str">
        <f>C30&amp;"-"&amp;"BC"&amp;"."&amp;6</f>
        <v>DEBDA0319-T1-BC.6</v>
      </c>
      <c r="E30" s="178">
        <f t="shared" si="0"/>
        <v>354.54545454545456</v>
      </c>
      <c r="F30" s="178">
        <f t="shared" si="1"/>
        <v>355.45454545454544</v>
      </c>
      <c r="G30" s="240">
        <f t="shared" si="2"/>
        <v>354.54545454545456</v>
      </c>
      <c r="H30" s="240">
        <f t="shared" si="3"/>
        <v>355.45454545454544</v>
      </c>
      <c r="I30" s="1"/>
      <c r="J30" s="1"/>
      <c r="K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s="197" customFormat="1" x14ac:dyDescent="0.35">
      <c r="A31" s="1"/>
      <c r="B31" s="75">
        <v>1</v>
      </c>
      <c r="C31" s="71" t="s">
        <v>136</v>
      </c>
      <c r="D31" s="83" t="str">
        <f>C31&amp;"-"&amp;"BC"&amp;"."&amp;7</f>
        <v>DEBDA0319-T1-BC.7</v>
      </c>
      <c r="E31" s="178">
        <f t="shared" si="0"/>
        <v>354.54545454545456</v>
      </c>
      <c r="F31" s="178">
        <f t="shared" si="1"/>
        <v>355.45454545454544</v>
      </c>
      <c r="G31" s="240">
        <f t="shared" si="2"/>
        <v>354.54545454545456</v>
      </c>
      <c r="H31" s="240">
        <f t="shared" si="3"/>
        <v>355.45454545454544</v>
      </c>
      <c r="I31" s="1"/>
      <c r="J31" s="1"/>
      <c r="K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s="197" customFormat="1" x14ac:dyDescent="0.35">
      <c r="A32" s="1"/>
      <c r="B32" s="75">
        <v>1</v>
      </c>
      <c r="C32" s="71" t="s">
        <v>136</v>
      </c>
      <c r="D32" s="83" t="str">
        <f>C32&amp;"-"&amp;"BC"&amp;"."&amp;8</f>
        <v>DEBDA0319-T1-BC.8</v>
      </c>
      <c r="E32" s="178">
        <f t="shared" si="0"/>
        <v>354.54545454545456</v>
      </c>
      <c r="F32" s="178">
        <f t="shared" si="1"/>
        <v>355.45454545454544</v>
      </c>
      <c r="G32" s="240">
        <f t="shared" si="2"/>
        <v>354.54545454545456</v>
      </c>
      <c r="H32" s="240">
        <f t="shared" si="3"/>
        <v>355.45454545454544</v>
      </c>
      <c r="I32" s="1"/>
      <c r="J32" s="1"/>
      <c r="K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12" x14ac:dyDescent="0.35">
      <c r="B33" s="75">
        <v>1</v>
      </c>
      <c r="C33" s="71" t="str">
        <f>E20</f>
        <v>DEB-T0</v>
      </c>
      <c r="D33" s="83" t="str">
        <f>C33&amp;"-"&amp;"BC"&amp;"."&amp;1</f>
        <v>DEB-T0-BC.1</v>
      </c>
      <c r="E33" s="178">
        <f t="shared" si="0"/>
        <v>354.54545454545456</v>
      </c>
      <c r="F33" s="178">
        <f t="shared" si="1"/>
        <v>355.45454545454544</v>
      </c>
      <c r="G33" s="240">
        <f t="shared" si="2"/>
        <v>354.54545454545456</v>
      </c>
      <c r="H33" s="240">
        <f t="shared" si="3"/>
        <v>355.45454545454544</v>
      </c>
    </row>
    <row r="34" spans="1:12" x14ac:dyDescent="0.35">
      <c r="B34" s="75">
        <v>1</v>
      </c>
      <c r="C34" s="71" t="s">
        <v>351</v>
      </c>
      <c r="D34" s="83" t="str">
        <f>C34&amp;"-"&amp;"BC"&amp;"."&amp;2</f>
        <v>DEB-T0-BC.2</v>
      </c>
      <c r="E34" s="178">
        <f t="shared" si="0"/>
        <v>354.54545454545456</v>
      </c>
      <c r="F34" s="178">
        <f t="shared" si="1"/>
        <v>355.45454545454544</v>
      </c>
      <c r="G34" s="240">
        <f t="shared" si="2"/>
        <v>354.54545454545456</v>
      </c>
      <c r="H34" s="240">
        <f t="shared" si="3"/>
        <v>355.45454545454544</v>
      </c>
    </row>
    <row r="35" spans="1:12" x14ac:dyDescent="0.35">
      <c r="B35" s="75">
        <v>1</v>
      </c>
      <c r="C35" s="71" t="s">
        <v>351</v>
      </c>
      <c r="D35" s="83" t="str">
        <f>C35&amp;"-"&amp;"BC"&amp;"."&amp;3</f>
        <v>DEB-T0-BC.3</v>
      </c>
      <c r="E35" s="178">
        <f t="shared" si="0"/>
        <v>354.54545454545456</v>
      </c>
      <c r="F35" s="178">
        <f t="shared" si="1"/>
        <v>355.45454545454544</v>
      </c>
      <c r="G35" s="240">
        <f t="shared" si="2"/>
        <v>354.54545454545456</v>
      </c>
      <c r="H35" s="240">
        <f t="shared" si="3"/>
        <v>355.45454545454544</v>
      </c>
    </row>
    <row r="37" spans="1:12" x14ac:dyDescent="0.35">
      <c r="H37" s="73" t="s">
        <v>59</v>
      </c>
    </row>
    <row r="39" spans="1:12" x14ac:dyDescent="0.35">
      <c r="A39" s="251" t="s">
        <v>137</v>
      </c>
      <c r="B39" s="251"/>
      <c r="C39" s="251"/>
      <c r="D39" s="251"/>
      <c r="E39" s="251"/>
      <c r="F39" s="251"/>
      <c r="G39" s="251"/>
      <c r="H39" s="251"/>
      <c r="I39" s="251"/>
      <c r="J39" s="251"/>
      <c r="K39" s="251"/>
      <c r="L39" s="251"/>
    </row>
    <row r="41" spans="1:12" s="3" customFormat="1" x14ac:dyDescent="0.35">
      <c r="B41" s="7" t="s">
        <v>0</v>
      </c>
      <c r="C41" s="98" t="s">
        <v>138</v>
      </c>
      <c r="D41" s="4"/>
      <c r="E41" s="4"/>
      <c r="F41" s="4"/>
      <c r="G41" s="5"/>
      <c r="H41" s="4"/>
      <c r="I41" s="6"/>
      <c r="L41" s="198"/>
    </row>
    <row r="42" spans="1:12" s="3" customFormat="1" ht="15" customHeight="1" x14ac:dyDescent="0.35">
      <c r="A42" s="2"/>
      <c r="B42" s="4"/>
      <c r="C42" s="4"/>
      <c r="D42" s="4"/>
      <c r="E42" s="4"/>
      <c r="F42" s="4"/>
      <c r="G42" s="5"/>
      <c r="H42" s="4"/>
      <c r="I42" s="6"/>
      <c r="L42" s="198"/>
    </row>
    <row r="43" spans="1:12" s="3" customFormat="1" ht="59" customHeight="1" x14ac:dyDescent="0.35">
      <c r="A43" s="2"/>
      <c r="B43" s="8" t="s">
        <v>1</v>
      </c>
      <c r="C43" s="8" t="s">
        <v>2</v>
      </c>
      <c r="D43" s="8" t="s">
        <v>3</v>
      </c>
      <c r="E43" s="8" t="s">
        <v>4</v>
      </c>
      <c r="F43" s="8" t="s">
        <v>5</v>
      </c>
      <c r="G43" s="9" t="s">
        <v>6</v>
      </c>
      <c r="H43" s="4"/>
      <c r="I43" s="6"/>
      <c r="L43" s="198"/>
    </row>
    <row r="44" spans="1:12" s="3" customFormat="1" ht="15" customHeight="1" x14ac:dyDescent="0.35">
      <c r="A44" s="2"/>
      <c r="B44" s="88">
        <v>46233</v>
      </c>
      <c r="C44" s="89" t="s">
        <v>139</v>
      </c>
      <c r="D44" s="89" t="s">
        <v>63</v>
      </c>
      <c r="E44" s="89" t="s">
        <v>64</v>
      </c>
      <c r="F44" s="39">
        <v>0.625</v>
      </c>
      <c r="G44" s="40">
        <v>0.95833333333333337</v>
      </c>
      <c r="H44" s="6"/>
      <c r="I44" s="6"/>
      <c r="L44" s="198"/>
    </row>
    <row r="45" spans="1:12" s="3" customFormat="1" x14ac:dyDescent="0.35">
      <c r="A45" s="2"/>
      <c r="C45" s="4"/>
      <c r="D45" s="4"/>
      <c r="E45" s="4"/>
      <c r="F45" s="4"/>
      <c r="G45" s="5"/>
      <c r="H45" s="4"/>
      <c r="I45" s="6"/>
      <c r="L45" s="198"/>
    </row>
    <row r="46" spans="1:12" s="3" customFormat="1" x14ac:dyDescent="0.35">
      <c r="A46" s="12">
        <v>1</v>
      </c>
      <c r="B46" s="2" t="s">
        <v>9</v>
      </c>
      <c r="C46" s="4"/>
      <c r="D46" s="4"/>
      <c r="E46" s="4"/>
      <c r="F46" s="4"/>
      <c r="G46" s="5"/>
      <c r="H46" s="4"/>
      <c r="I46" s="6"/>
      <c r="L46" s="198"/>
    </row>
    <row r="47" spans="1:12" s="3" customFormat="1" x14ac:dyDescent="0.35">
      <c r="A47" s="2"/>
      <c r="C47" s="4"/>
      <c r="L47" s="198"/>
    </row>
    <row r="48" spans="1:12" s="3" customFormat="1" ht="15" customHeight="1" x14ac:dyDescent="0.35">
      <c r="A48" s="2"/>
      <c r="D48" s="252" t="s">
        <v>7</v>
      </c>
      <c r="E48" s="253"/>
      <c r="F48" s="254"/>
      <c r="H48" s="255" t="s">
        <v>121</v>
      </c>
      <c r="I48" s="256"/>
      <c r="K48" s="1"/>
      <c r="L48" s="198"/>
    </row>
    <row r="49" spans="1:12" s="3" customFormat="1" ht="14.5" customHeight="1" x14ac:dyDescent="0.35">
      <c r="A49" s="2"/>
      <c r="B49" s="8" t="s">
        <v>260</v>
      </c>
      <c r="C49" s="8" t="s">
        <v>261</v>
      </c>
      <c r="D49" s="10" t="s">
        <v>149</v>
      </c>
      <c r="E49" s="10" t="s">
        <v>150</v>
      </c>
      <c r="F49" s="8" t="s">
        <v>8</v>
      </c>
      <c r="H49" s="8" t="s">
        <v>11</v>
      </c>
      <c r="I49" s="8" t="s">
        <v>12</v>
      </c>
      <c r="L49" s="198"/>
    </row>
    <row r="50" spans="1:12" s="3" customFormat="1" ht="29" x14ac:dyDescent="0.35">
      <c r="A50" s="90" t="s">
        <v>259</v>
      </c>
      <c r="B50" s="87" t="str">
        <f>D25</f>
        <v>DEBDA0319-T1-BC.1</v>
      </c>
      <c r="C50" s="111" t="str">
        <f>$D$19</f>
        <v>GALVALUM SLITTED NON BORON 0.669-150-AZ70-G550-</v>
      </c>
      <c r="D50" s="33">
        <f t="shared" ref="D50:E53" si="4">G25</f>
        <v>354.54545454545456</v>
      </c>
      <c r="E50" s="33">
        <f t="shared" si="4"/>
        <v>355.45454545454544</v>
      </c>
      <c r="F50" s="33"/>
      <c r="H50" s="33">
        <f>$B$15</f>
        <v>0</v>
      </c>
      <c r="I50" s="33">
        <f>$C$15</f>
        <v>0</v>
      </c>
      <c r="L50" s="198"/>
    </row>
    <row r="51" spans="1:12" s="3" customFormat="1" ht="29" x14ac:dyDescent="0.35">
      <c r="A51" s="90" t="s">
        <v>259</v>
      </c>
      <c r="B51" s="87" t="str">
        <f>D26</f>
        <v>DEBDA0319-T1-BC.2</v>
      </c>
      <c r="C51" s="111" t="str">
        <f t="shared" ref="C51:C53" si="5">$D$19</f>
        <v>GALVALUM SLITTED NON BORON 0.669-150-AZ70-G550-</v>
      </c>
      <c r="D51" s="33">
        <f t="shared" si="4"/>
        <v>354.54545454545456</v>
      </c>
      <c r="E51" s="33">
        <f t="shared" si="4"/>
        <v>355.45454545454544</v>
      </c>
      <c r="F51" s="33"/>
      <c r="G51" s="1"/>
      <c r="H51" s="1"/>
      <c r="I51" s="1"/>
      <c r="J51" s="1"/>
      <c r="K51" s="1"/>
      <c r="L51" s="198"/>
    </row>
    <row r="52" spans="1:12" s="3" customFormat="1" ht="29" x14ac:dyDescent="0.35">
      <c r="A52" s="90" t="s">
        <v>259</v>
      </c>
      <c r="B52" s="87" t="str">
        <f>D27</f>
        <v>DEBDA0319-T1-BC.3</v>
      </c>
      <c r="C52" s="111" t="str">
        <f t="shared" si="5"/>
        <v>GALVALUM SLITTED NON BORON 0.669-150-AZ70-G550-</v>
      </c>
      <c r="D52" s="33">
        <f t="shared" si="4"/>
        <v>354.54545454545456</v>
      </c>
      <c r="E52" s="33">
        <f t="shared" si="4"/>
        <v>355.45454545454544</v>
      </c>
      <c r="F52" s="33"/>
      <c r="G52" s="1"/>
      <c r="H52" s="1"/>
      <c r="I52" s="1"/>
      <c r="J52" s="1"/>
      <c r="K52" s="1"/>
      <c r="L52" s="198"/>
    </row>
    <row r="53" spans="1:12" s="3" customFormat="1" ht="29" x14ac:dyDescent="0.35">
      <c r="A53" s="90" t="s">
        <v>259</v>
      </c>
      <c r="B53" s="87" t="str">
        <f>D28</f>
        <v>DEBDA0319-T1-BC.4</v>
      </c>
      <c r="C53" s="111" t="str">
        <f t="shared" si="5"/>
        <v>GALVALUM SLITTED NON BORON 0.669-150-AZ70-G550-</v>
      </c>
      <c r="D53" s="33">
        <f t="shared" si="4"/>
        <v>354.54545454545456</v>
      </c>
      <c r="E53" s="33">
        <f t="shared" si="4"/>
        <v>355.45454545454544</v>
      </c>
      <c r="F53" s="33"/>
      <c r="G53" s="1"/>
      <c r="H53" s="1"/>
      <c r="I53" s="1"/>
      <c r="J53" s="1"/>
      <c r="K53" s="1"/>
      <c r="L53" s="198"/>
    </row>
    <row r="54" spans="1:12" s="3" customFormat="1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98"/>
    </row>
    <row r="56" spans="1:12" s="3" customFormat="1" x14ac:dyDescent="0.35">
      <c r="A56" s="12">
        <v>2</v>
      </c>
      <c r="B56" s="2" t="s">
        <v>13</v>
      </c>
      <c r="C56" s="4"/>
      <c r="D56" s="4"/>
      <c r="E56" s="4"/>
      <c r="F56" s="12"/>
      <c r="G56" s="12"/>
      <c r="H56" s="12"/>
      <c r="I56" s="12"/>
      <c r="L56" s="199"/>
    </row>
    <row r="57" spans="1:12" s="3" customFormat="1" x14ac:dyDescent="0.35">
      <c r="A57" s="13"/>
      <c r="B57" s="105" t="s">
        <v>14</v>
      </c>
      <c r="C57" s="16" t="s">
        <v>155</v>
      </c>
      <c r="E57" s="4"/>
      <c r="F57" s="17"/>
      <c r="G57" s="17"/>
      <c r="H57" s="17"/>
      <c r="I57" s="17"/>
      <c r="J57" s="17"/>
      <c r="K57" s="17"/>
      <c r="L57" s="200"/>
    </row>
    <row r="58" spans="1:12" s="3" customFormat="1" x14ac:dyDescent="0.35">
      <c r="A58" s="13"/>
      <c r="B58" s="105" t="s">
        <v>16</v>
      </c>
      <c r="C58" s="112" t="str">
        <f>D25</f>
        <v>DEBDA0319-T1-BC.1</v>
      </c>
      <c r="D58" s="118" t="s">
        <v>225</v>
      </c>
      <c r="E58" s="18" t="s">
        <v>226</v>
      </c>
      <c r="F58" s="17"/>
      <c r="G58" s="17"/>
      <c r="H58" s="17"/>
      <c r="I58" s="17"/>
      <c r="J58" s="17"/>
      <c r="K58" s="17"/>
      <c r="L58" s="200"/>
    </row>
    <row r="59" spans="1:12" s="3" customFormat="1" x14ac:dyDescent="0.35">
      <c r="A59" s="13"/>
      <c r="B59" s="18"/>
      <c r="C59" s="18"/>
      <c r="D59" s="18"/>
      <c r="E59" s="18"/>
      <c r="F59" s="17"/>
      <c r="G59" s="17"/>
      <c r="H59" s="17"/>
      <c r="I59" s="17"/>
      <c r="J59" s="17"/>
      <c r="K59" s="17"/>
      <c r="L59" s="200"/>
    </row>
    <row r="60" spans="1:12" s="3" customFormat="1" x14ac:dyDescent="0.35">
      <c r="A60" s="13"/>
      <c r="B60" s="20" t="s">
        <v>22</v>
      </c>
      <c r="F60" s="4"/>
      <c r="G60" s="17"/>
      <c r="H60" s="17"/>
      <c r="I60" s="17"/>
      <c r="J60" s="17"/>
      <c r="K60" s="17"/>
      <c r="L60" s="200"/>
    </row>
    <row r="61" spans="1:12" s="3" customFormat="1" x14ac:dyDescent="0.35">
      <c r="B61" s="2" t="s">
        <v>29</v>
      </c>
      <c r="C61" s="8" t="s">
        <v>24</v>
      </c>
      <c r="D61" s="8" t="s">
        <v>25</v>
      </c>
      <c r="E61" s="8" t="s">
        <v>26</v>
      </c>
      <c r="F61" s="8" t="s">
        <v>27</v>
      </c>
      <c r="G61" s="8" t="s">
        <v>307</v>
      </c>
      <c r="H61" s="17"/>
      <c r="I61" s="17"/>
      <c r="J61" s="17"/>
      <c r="K61" s="17"/>
      <c r="L61" s="200"/>
    </row>
    <row r="62" spans="1:12" s="3" customFormat="1" ht="26" x14ac:dyDescent="0.35">
      <c r="B62" s="4"/>
      <c r="C62" s="14">
        <v>347</v>
      </c>
      <c r="D62" s="22">
        <f>C62*E62</f>
        <v>1644.78</v>
      </c>
      <c r="E62" s="14">
        <v>4.74</v>
      </c>
      <c r="F62" s="21">
        <v>4.71</v>
      </c>
      <c r="G62" s="106">
        <f>(E62-F62)/F62</f>
        <v>6.3694267515924099E-3</v>
      </c>
      <c r="H62" s="179" t="s">
        <v>308</v>
      </c>
      <c r="I62" s="17"/>
      <c r="J62" s="17"/>
      <c r="K62" s="17"/>
      <c r="L62" s="200"/>
    </row>
    <row r="63" spans="1:12" s="3" customFormat="1" x14ac:dyDescent="0.35">
      <c r="A63" s="4"/>
      <c r="H63" s="4"/>
      <c r="I63" s="5"/>
      <c r="J63" s="4"/>
      <c r="K63" s="4"/>
      <c r="L63" s="199"/>
    </row>
    <row r="64" spans="1:12" s="3" customFormat="1" x14ac:dyDescent="0.35">
      <c r="A64" s="13"/>
      <c r="B64" s="105" t="s">
        <v>227</v>
      </c>
      <c r="C64" s="112" t="str">
        <f>D26</f>
        <v>DEBDA0319-T1-BC.2</v>
      </c>
      <c r="D64" s="118" t="s">
        <v>225</v>
      </c>
      <c r="E64" s="18" t="s">
        <v>228</v>
      </c>
      <c r="F64" s="17"/>
      <c r="G64" s="17"/>
      <c r="H64" s="17"/>
      <c r="I64" s="17"/>
      <c r="J64" s="17"/>
      <c r="K64" s="17"/>
      <c r="L64" s="200"/>
    </row>
    <row r="65" spans="1:12" s="3" customFormat="1" x14ac:dyDescent="0.35">
      <c r="A65" s="13"/>
      <c r="B65" s="18"/>
      <c r="C65" s="18"/>
      <c r="D65" s="18"/>
      <c r="E65" s="18"/>
      <c r="F65" s="17"/>
      <c r="G65" s="17"/>
      <c r="H65" s="17"/>
      <c r="I65" s="17"/>
      <c r="J65" s="17"/>
      <c r="K65" s="17"/>
      <c r="L65" s="200"/>
    </row>
    <row r="66" spans="1:12" s="3" customFormat="1" hidden="1" x14ac:dyDescent="0.35">
      <c r="A66" s="13"/>
      <c r="B66" s="20" t="s">
        <v>22</v>
      </c>
      <c r="F66" s="4"/>
      <c r="G66" s="17"/>
      <c r="H66" s="17"/>
      <c r="I66" s="17"/>
      <c r="J66" s="17"/>
      <c r="K66" s="17"/>
      <c r="L66" s="200"/>
    </row>
    <row r="67" spans="1:12" s="3" customFormat="1" hidden="1" x14ac:dyDescent="0.35">
      <c r="B67" s="2" t="s">
        <v>29</v>
      </c>
      <c r="C67" s="8" t="s">
        <v>24</v>
      </c>
      <c r="D67" s="8" t="s">
        <v>25</v>
      </c>
      <c r="E67" s="8" t="s">
        <v>26</v>
      </c>
      <c r="F67" s="8" t="s">
        <v>27</v>
      </c>
      <c r="G67" s="8" t="s">
        <v>28</v>
      </c>
      <c r="H67" s="17"/>
      <c r="I67" s="17"/>
      <c r="J67" s="17"/>
      <c r="K67" s="17"/>
      <c r="L67" s="200"/>
    </row>
    <row r="68" spans="1:12" s="3" customFormat="1" hidden="1" x14ac:dyDescent="0.35">
      <c r="B68" s="4"/>
      <c r="C68" s="14"/>
      <c r="D68" s="22">
        <f>C68*E68</f>
        <v>0</v>
      </c>
      <c r="E68" s="14">
        <v>4.74</v>
      </c>
      <c r="F68" s="21">
        <v>4.71</v>
      </c>
      <c r="G68" s="106">
        <f>(E68-F68)/F68</f>
        <v>6.3694267515924099E-3</v>
      </c>
      <c r="H68" s="17"/>
      <c r="I68" s="17"/>
      <c r="J68" s="17"/>
      <c r="K68" s="17"/>
      <c r="L68" s="200"/>
    </row>
    <row r="69" spans="1:12" s="3" customFormat="1" hidden="1" x14ac:dyDescent="0.35">
      <c r="A69" s="4"/>
      <c r="H69" s="4"/>
      <c r="I69" s="5"/>
      <c r="J69" s="4"/>
      <c r="K69" s="4"/>
      <c r="L69" s="199"/>
    </row>
    <row r="70" spans="1:12" s="3" customFormat="1" hidden="1" x14ac:dyDescent="0.35">
      <c r="A70" s="13"/>
      <c r="B70" s="105" t="s">
        <v>229</v>
      </c>
      <c r="C70" s="112" t="str">
        <f>D27</f>
        <v>DEBDA0319-T1-BC.3</v>
      </c>
      <c r="D70" s="118" t="s">
        <v>225</v>
      </c>
      <c r="E70" s="18" t="s">
        <v>230</v>
      </c>
      <c r="F70" s="17"/>
      <c r="G70" s="17"/>
      <c r="H70" s="17"/>
      <c r="I70" s="17"/>
      <c r="J70" s="17"/>
      <c r="K70" s="17"/>
      <c r="L70" s="200"/>
    </row>
    <row r="71" spans="1:12" s="3" customFormat="1" hidden="1" x14ac:dyDescent="0.35">
      <c r="A71" s="13"/>
      <c r="B71" s="18"/>
      <c r="C71" s="18"/>
      <c r="D71" s="18"/>
      <c r="E71" s="18"/>
      <c r="F71" s="17"/>
      <c r="G71" s="17"/>
      <c r="H71" s="17"/>
      <c r="I71" s="17"/>
      <c r="J71" s="17"/>
      <c r="K71" s="17"/>
      <c r="L71" s="200"/>
    </row>
    <row r="72" spans="1:12" s="3" customFormat="1" hidden="1" x14ac:dyDescent="0.35">
      <c r="A72" s="13"/>
      <c r="B72" s="20" t="s">
        <v>22</v>
      </c>
      <c r="F72" s="4"/>
      <c r="G72" s="17"/>
      <c r="H72" s="17"/>
      <c r="I72" s="17"/>
      <c r="J72" s="17"/>
      <c r="K72" s="17"/>
      <c r="L72" s="200"/>
    </row>
    <row r="73" spans="1:12" s="3" customFormat="1" hidden="1" x14ac:dyDescent="0.35">
      <c r="B73" s="2" t="s">
        <v>29</v>
      </c>
      <c r="C73" s="8" t="s">
        <v>24</v>
      </c>
      <c r="D73" s="8" t="s">
        <v>25</v>
      </c>
      <c r="E73" s="8" t="s">
        <v>26</v>
      </c>
      <c r="F73" s="8" t="s">
        <v>27</v>
      </c>
      <c r="G73" s="8" t="s">
        <v>28</v>
      </c>
      <c r="H73" s="17"/>
      <c r="I73" s="17"/>
      <c r="J73" s="17"/>
      <c r="K73" s="17"/>
      <c r="L73" s="200"/>
    </row>
    <row r="74" spans="1:12" s="3" customFormat="1" hidden="1" x14ac:dyDescent="0.35">
      <c r="B74" s="4"/>
      <c r="C74" s="14"/>
      <c r="D74" s="22">
        <f>C74*E74</f>
        <v>0</v>
      </c>
      <c r="E74" s="14">
        <v>4.74</v>
      </c>
      <c r="F74" s="21">
        <v>4.71</v>
      </c>
      <c r="G74" s="106">
        <f>(E74-F74)/F74</f>
        <v>6.3694267515924099E-3</v>
      </c>
      <c r="H74" s="17"/>
      <c r="I74" s="17"/>
      <c r="J74" s="17"/>
      <c r="K74" s="17"/>
      <c r="L74" s="200"/>
    </row>
    <row r="75" spans="1:12" s="3" customFormat="1" hidden="1" x14ac:dyDescent="0.35">
      <c r="A75" s="4"/>
      <c r="H75" s="4"/>
      <c r="I75" s="5"/>
      <c r="J75" s="4"/>
      <c r="K75" s="4"/>
      <c r="L75" s="199"/>
    </row>
    <row r="76" spans="1:12" s="3" customFormat="1" hidden="1" x14ac:dyDescent="0.35">
      <c r="A76" s="13"/>
      <c r="B76" s="105" t="s">
        <v>231</v>
      </c>
      <c r="C76" s="112" t="str">
        <f>D28</f>
        <v>DEBDA0319-T1-BC.4</v>
      </c>
      <c r="D76" s="118" t="s">
        <v>225</v>
      </c>
      <c r="E76" s="18" t="s">
        <v>232</v>
      </c>
      <c r="F76" s="17"/>
      <c r="G76" s="17"/>
      <c r="H76" s="17"/>
      <c r="I76" s="17"/>
      <c r="J76" s="17"/>
      <c r="K76" s="17"/>
      <c r="L76" s="200"/>
    </row>
    <row r="77" spans="1:12" s="3" customFormat="1" hidden="1" x14ac:dyDescent="0.35">
      <c r="A77" s="13"/>
      <c r="B77" s="18"/>
      <c r="C77" s="18"/>
      <c r="D77" s="18"/>
      <c r="E77" s="18"/>
      <c r="F77" s="17"/>
      <c r="G77" s="17"/>
      <c r="H77" s="17"/>
      <c r="I77" s="17"/>
      <c r="J77" s="17"/>
      <c r="K77" s="17"/>
      <c r="L77" s="200"/>
    </row>
    <row r="78" spans="1:12" s="3" customFormat="1" hidden="1" x14ac:dyDescent="0.35">
      <c r="A78" s="13"/>
      <c r="B78" s="20" t="s">
        <v>22</v>
      </c>
      <c r="F78" s="4"/>
      <c r="G78" s="17"/>
      <c r="H78" s="17"/>
      <c r="I78" s="17"/>
      <c r="J78" s="17"/>
      <c r="K78" s="17"/>
      <c r="L78" s="200"/>
    </row>
    <row r="79" spans="1:12" s="3" customFormat="1" hidden="1" x14ac:dyDescent="0.35">
      <c r="B79" s="2" t="s">
        <v>29</v>
      </c>
      <c r="C79" s="8" t="s">
        <v>24</v>
      </c>
      <c r="D79" s="8" t="s">
        <v>25</v>
      </c>
      <c r="E79" s="8" t="s">
        <v>26</v>
      </c>
      <c r="F79" s="8" t="s">
        <v>27</v>
      </c>
      <c r="G79" s="8" t="s">
        <v>28</v>
      </c>
      <c r="H79" s="17"/>
      <c r="I79" s="17"/>
      <c r="J79" s="17"/>
      <c r="K79" s="17"/>
      <c r="L79" s="200"/>
    </row>
    <row r="80" spans="1:12" s="3" customFormat="1" hidden="1" x14ac:dyDescent="0.35">
      <c r="B80" s="4"/>
      <c r="C80" s="14"/>
      <c r="D80" s="22">
        <f>C80*E80</f>
        <v>0</v>
      </c>
      <c r="E80" s="14">
        <v>4.74</v>
      </c>
      <c r="F80" s="21">
        <v>4.71</v>
      </c>
      <c r="G80" s="106">
        <f>(E80-F80)/F80</f>
        <v>6.3694267515924099E-3</v>
      </c>
      <c r="H80" s="17"/>
      <c r="I80" s="17"/>
      <c r="J80" s="17"/>
      <c r="K80" s="17"/>
      <c r="L80" s="200"/>
    </row>
    <row r="81" spans="1:12" s="3" customFormat="1" x14ac:dyDescent="0.35">
      <c r="A81" s="4"/>
      <c r="H81" s="4"/>
      <c r="I81" s="5"/>
      <c r="J81" s="4"/>
      <c r="K81" s="4"/>
      <c r="L81" s="199"/>
    </row>
    <row r="82" spans="1:12" s="3" customFormat="1" x14ac:dyDescent="0.35">
      <c r="A82" s="4"/>
      <c r="H82" s="4"/>
      <c r="I82" s="5"/>
      <c r="J82" s="4"/>
      <c r="K82" s="4"/>
      <c r="L82" s="199"/>
    </row>
    <row r="83" spans="1:12" s="115" customFormat="1" x14ac:dyDescent="0.35">
      <c r="B83" s="129" t="s">
        <v>17</v>
      </c>
      <c r="C83" s="1"/>
      <c r="D83" s="1"/>
      <c r="E83" s="1"/>
      <c r="F83" s="1"/>
      <c r="G83" s="116"/>
      <c r="H83" s="116"/>
      <c r="I83" s="116"/>
      <c r="J83" s="116"/>
      <c r="K83" s="116"/>
      <c r="L83" s="201"/>
    </row>
    <row r="84" spans="1:12" s="115" customFormat="1" x14ac:dyDescent="0.35">
      <c r="B84" s="129" t="s">
        <v>18</v>
      </c>
      <c r="C84" s="117" t="s">
        <v>19</v>
      </c>
      <c r="D84" s="118" t="s">
        <v>15</v>
      </c>
      <c r="E84" s="119" t="s">
        <v>20</v>
      </c>
      <c r="F84" s="1"/>
      <c r="G84" s="116"/>
      <c r="H84" s="116"/>
      <c r="I84" s="116"/>
      <c r="J84" s="116"/>
      <c r="K84" s="116"/>
      <c r="L84" s="201"/>
    </row>
    <row r="85" spans="1:12" s="115" customFormat="1" x14ac:dyDescent="0.35">
      <c r="B85" s="105" t="s">
        <v>16</v>
      </c>
      <c r="C85" s="112" t="s">
        <v>166</v>
      </c>
      <c r="D85" s="1"/>
      <c r="E85" s="1"/>
      <c r="F85" s="1"/>
      <c r="G85" s="116"/>
      <c r="H85" s="116"/>
      <c r="I85" s="116"/>
      <c r="J85" s="116"/>
      <c r="K85" s="116"/>
      <c r="L85" s="201"/>
    </row>
    <row r="86" spans="1:12" s="115" customFormat="1" x14ac:dyDescent="0.35">
      <c r="C86" s="1"/>
      <c r="D86" s="1"/>
      <c r="E86" s="1"/>
      <c r="F86" s="1"/>
      <c r="G86" s="116"/>
      <c r="H86" s="116"/>
      <c r="I86" s="116"/>
      <c r="J86" s="116"/>
      <c r="K86" s="116"/>
      <c r="L86" s="201"/>
    </row>
    <row r="87" spans="1:12" s="115" customFormat="1" x14ac:dyDescent="0.35">
      <c r="A87" s="1"/>
      <c r="B87" s="1"/>
      <c r="C87" s="120" t="s">
        <v>21</v>
      </c>
      <c r="D87" s="120" t="s">
        <v>22</v>
      </c>
      <c r="E87" s="1"/>
      <c r="F87" s="1"/>
      <c r="G87" s="121"/>
      <c r="H87" s="1"/>
      <c r="I87" s="121"/>
      <c r="J87" s="1"/>
      <c r="K87" s="1"/>
      <c r="L87" s="197"/>
    </row>
    <row r="88" spans="1:12" s="115" customFormat="1" x14ac:dyDescent="0.35">
      <c r="A88" s="1"/>
      <c r="B88" s="1"/>
      <c r="C88" s="1"/>
      <c r="D88" s="1"/>
      <c r="E88" s="1"/>
      <c r="F88" s="1"/>
      <c r="G88" s="121"/>
      <c r="H88" s="1"/>
      <c r="I88" s="121"/>
      <c r="J88" s="1"/>
      <c r="K88" s="1"/>
      <c r="L88" s="197"/>
    </row>
    <row r="89" spans="1:12" s="115" customFormat="1" x14ac:dyDescent="0.35">
      <c r="A89" s="1"/>
      <c r="B89" s="122" t="s">
        <v>23</v>
      </c>
      <c r="C89" s="123" t="s">
        <v>24</v>
      </c>
      <c r="D89" s="123" t="s">
        <v>25</v>
      </c>
      <c r="E89" s="123" t="s">
        <v>26</v>
      </c>
      <c r="F89" s="123" t="s">
        <v>27</v>
      </c>
      <c r="G89" s="123" t="s">
        <v>28</v>
      </c>
      <c r="H89" s="124" t="s">
        <v>165</v>
      </c>
      <c r="I89" s="121"/>
      <c r="J89" s="1"/>
      <c r="K89" s="1"/>
      <c r="L89" s="197"/>
    </row>
    <row r="90" spans="1:12" s="115" customFormat="1" x14ac:dyDescent="0.35">
      <c r="A90" s="1"/>
      <c r="B90" s="1"/>
      <c r="C90" s="94"/>
      <c r="D90" s="94"/>
      <c r="E90" s="125"/>
      <c r="F90" s="126"/>
      <c r="G90" s="127"/>
      <c r="H90" s="1"/>
      <c r="I90" s="121"/>
      <c r="J90" s="1"/>
      <c r="K90" s="1"/>
      <c r="L90" s="197"/>
    </row>
    <row r="91" spans="1:12" s="115" customFormat="1" x14ac:dyDescent="0.35">
      <c r="A91" s="1"/>
      <c r="B91" s="1"/>
      <c r="C91" s="1"/>
      <c r="D91" s="1"/>
      <c r="E91" s="1"/>
      <c r="F91" s="1"/>
      <c r="G91" s="121"/>
      <c r="H91" s="1"/>
      <c r="I91" s="121"/>
      <c r="J91" s="1"/>
      <c r="K91" s="1"/>
      <c r="L91" s="197"/>
    </row>
    <row r="92" spans="1:12" s="115" customFormat="1" x14ac:dyDescent="0.35">
      <c r="A92" s="1"/>
      <c r="B92" s="122" t="s">
        <v>29</v>
      </c>
      <c r="C92" s="123" t="s">
        <v>24</v>
      </c>
      <c r="D92" s="123" t="s">
        <v>25</v>
      </c>
      <c r="E92" s="123" t="s">
        <v>26</v>
      </c>
      <c r="F92" s="123" t="s">
        <v>27</v>
      </c>
      <c r="G92" s="123" t="s">
        <v>28</v>
      </c>
      <c r="H92" s="1"/>
      <c r="I92" s="121"/>
      <c r="J92" s="1"/>
      <c r="K92" s="1"/>
      <c r="L92" s="197"/>
    </row>
    <row r="93" spans="1:12" s="115" customFormat="1" x14ac:dyDescent="0.35">
      <c r="A93" s="1"/>
      <c r="B93" s="1"/>
      <c r="C93" s="94"/>
      <c r="D93" s="128"/>
      <c r="E93" s="94"/>
      <c r="F93" s="126"/>
      <c r="G93" s="127"/>
      <c r="H93" s="1"/>
      <c r="I93" s="121"/>
      <c r="J93" s="1"/>
      <c r="K93" s="1"/>
      <c r="L93" s="197"/>
    </row>
    <row r="94" spans="1:12" s="3" customFormat="1" x14ac:dyDescent="0.35">
      <c r="A94" s="4"/>
      <c r="H94" s="4"/>
      <c r="I94" s="5"/>
      <c r="J94" s="4"/>
      <c r="K94" s="4"/>
      <c r="L94" s="199"/>
    </row>
    <row r="95" spans="1:12" s="3" customFormat="1" x14ac:dyDescent="0.35">
      <c r="A95" s="4"/>
      <c r="H95" s="4"/>
      <c r="I95" s="5"/>
      <c r="J95" s="4"/>
      <c r="K95" s="4"/>
      <c r="L95" s="199"/>
    </row>
    <row r="96" spans="1:12" s="3" customFormat="1" x14ac:dyDescent="0.35">
      <c r="A96" s="12">
        <v>3</v>
      </c>
      <c r="B96" s="2" t="s">
        <v>30</v>
      </c>
      <c r="C96" s="4"/>
      <c r="D96" s="4"/>
      <c r="E96" s="4"/>
      <c r="F96" s="4"/>
      <c r="G96" s="5"/>
      <c r="H96" s="4"/>
      <c r="I96" s="5"/>
      <c r="J96" s="4"/>
      <c r="K96" s="4"/>
      <c r="L96" s="199"/>
    </row>
    <row r="97" spans="1:12" s="3" customFormat="1" x14ac:dyDescent="0.35">
      <c r="A97" s="12"/>
      <c r="B97" s="2" t="s">
        <v>31</v>
      </c>
      <c r="C97" s="4"/>
      <c r="D97" s="4"/>
      <c r="E97" s="4"/>
      <c r="F97" s="4"/>
      <c r="G97" s="5"/>
      <c r="H97" s="4"/>
      <c r="I97" s="5"/>
      <c r="J97" s="4"/>
      <c r="K97" s="4"/>
      <c r="L97" s="199"/>
    </row>
    <row r="98" spans="1:12" s="3" customFormat="1" x14ac:dyDescent="0.35">
      <c r="A98" s="12"/>
      <c r="B98" s="23" t="s">
        <v>32</v>
      </c>
      <c r="C98" s="19" t="s">
        <v>19</v>
      </c>
      <c r="D98" s="4"/>
      <c r="E98" s="4"/>
      <c r="F98" s="4"/>
      <c r="G98" s="5"/>
      <c r="H98" s="4"/>
      <c r="I98" s="5"/>
      <c r="J98" s="4"/>
      <c r="K98" s="4"/>
      <c r="L98" s="199"/>
    </row>
    <row r="99" spans="1:12" s="3" customFormat="1" x14ac:dyDescent="0.35">
      <c r="A99" s="13"/>
      <c r="B99" s="8" t="s">
        <v>33</v>
      </c>
      <c r="C99" s="8" t="s">
        <v>34</v>
      </c>
      <c r="D99" s="8" t="s">
        <v>35</v>
      </c>
      <c r="E99" s="8" t="s">
        <v>36</v>
      </c>
      <c r="F99" s="8" t="s">
        <v>26</v>
      </c>
      <c r="G99" s="8" t="s">
        <v>37</v>
      </c>
      <c r="H99" s="8" t="s">
        <v>38</v>
      </c>
      <c r="I99" s="5"/>
      <c r="J99" s="4"/>
      <c r="K99" s="4"/>
      <c r="L99" s="199"/>
    </row>
    <row r="100" spans="1:12" s="3" customFormat="1" x14ac:dyDescent="0.35">
      <c r="A100" s="13"/>
      <c r="B100" s="12">
        <v>1</v>
      </c>
      <c r="C100" s="15"/>
      <c r="D100" s="15"/>
      <c r="E100" s="15"/>
      <c r="F100" s="24"/>
      <c r="G100" s="114" t="str">
        <f>C98&amp;"-"&amp;"KW 2"</f>
        <v>(Select Master Product)-KW 2</v>
      </c>
      <c r="H100" s="14"/>
      <c r="I100" s="5"/>
      <c r="J100" s="4"/>
      <c r="K100" s="4"/>
      <c r="L100" s="199"/>
    </row>
    <row r="101" spans="1:12" s="3" customFormat="1" x14ac:dyDescent="0.35">
      <c r="A101" s="13"/>
      <c r="B101" s="12">
        <v>2</v>
      </c>
      <c r="C101" s="14"/>
      <c r="D101" s="14"/>
      <c r="E101" s="14"/>
      <c r="F101" s="24"/>
      <c r="G101" s="25"/>
      <c r="H101" s="14"/>
      <c r="I101" s="5"/>
      <c r="J101" s="4"/>
      <c r="K101" s="4"/>
      <c r="L101" s="199"/>
    </row>
    <row r="102" spans="1:12" s="3" customFormat="1" x14ac:dyDescent="0.35">
      <c r="A102" s="13"/>
      <c r="B102" s="4"/>
      <c r="C102" s="4"/>
      <c r="D102" s="4"/>
      <c r="E102" s="4"/>
      <c r="F102" s="4"/>
      <c r="G102" s="5"/>
      <c r="H102" s="4"/>
      <c r="I102" s="5"/>
      <c r="J102" s="4"/>
      <c r="K102" s="4"/>
      <c r="L102" s="199"/>
    </row>
    <row r="103" spans="1:12" s="3" customFormat="1" x14ac:dyDescent="0.35">
      <c r="A103" s="12"/>
      <c r="B103" s="2" t="s">
        <v>39</v>
      </c>
      <c r="C103" s="4"/>
      <c r="D103" s="4"/>
      <c r="E103" s="4"/>
      <c r="F103" s="4"/>
      <c r="G103" s="5"/>
      <c r="H103" s="4"/>
      <c r="I103" s="5"/>
      <c r="J103" s="4"/>
      <c r="K103" s="4"/>
      <c r="L103" s="199"/>
    </row>
    <row r="104" spans="1:12" s="3" customFormat="1" x14ac:dyDescent="0.35">
      <c r="A104" s="12"/>
      <c r="B104" s="23" t="s">
        <v>32</v>
      </c>
      <c r="C104" s="19" t="s">
        <v>19</v>
      </c>
      <c r="D104" s="4"/>
      <c r="E104" s="4"/>
      <c r="F104" s="4"/>
      <c r="G104" s="5"/>
      <c r="H104" s="4"/>
      <c r="I104" s="5"/>
      <c r="J104" s="4"/>
      <c r="K104" s="4"/>
      <c r="L104" s="199"/>
    </row>
    <row r="105" spans="1:12" s="3" customFormat="1" x14ac:dyDescent="0.35">
      <c r="A105" s="13"/>
      <c r="B105" s="8" t="s">
        <v>33</v>
      </c>
      <c r="C105" s="8" t="s">
        <v>34</v>
      </c>
      <c r="D105" s="8" t="s">
        <v>35</v>
      </c>
      <c r="E105" s="8" t="s">
        <v>36</v>
      </c>
      <c r="F105" s="8" t="s">
        <v>26</v>
      </c>
      <c r="G105" s="8" t="s">
        <v>37</v>
      </c>
      <c r="H105" s="8" t="s">
        <v>38</v>
      </c>
      <c r="I105" s="26" t="s">
        <v>40</v>
      </c>
      <c r="J105" s="4"/>
      <c r="K105" s="4"/>
      <c r="L105" s="199"/>
    </row>
    <row r="106" spans="1:12" s="3" customFormat="1" x14ac:dyDescent="0.35">
      <c r="A106" s="13"/>
      <c r="B106" s="12">
        <v>1</v>
      </c>
      <c r="C106" s="14"/>
      <c r="D106" s="14"/>
      <c r="E106" s="14"/>
      <c r="F106" s="24"/>
      <c r="G106" s="25"/>
      <c r="H106" s="14"/>
      <c r="I106" s="5"/>
      <c r="J106" s="4"/>
      <c r="K106" s="4"/>
      <c r="L106" s="199"/>
    </row>
    <row r="107" spans="1:12" s="3" customFormat="1" x14ac:dyDescent="0.35">
      <c r="A107" s="13"/>
      <c r="B107" s="12">
        <v>2</v>
      </c>
      <c r="C107" s="14"/>
      <c r="D107" s="14"/>
      <c r="E107" s="14"/>
      <c r="F107" s="24"/>
      <c r="G107" s="25"/>
      <c r="H107" s="14"/>
      <c r="I107" s="5"/>
      <c r="J107" s="4"/>
      <c r="K107" s="4"/>
      <c r="L107" s="199"/>
    </row>
    <row r="108" spans="1:12" s="3" customFormat="1" x14ac:dyDescent="0.35">
      <c r="A108" s="13"/>
      <c r="B108" s="4"/>
      <c r="C108" s="4"/>
      <c r="D108" s="4"/>
      <c r="E108" s="4"/>
      <c r="F108" s="4"/>
      <c r="G108" s="5"/>
      <c r="H108" s="4"/>
      <c r="I108" s="5"/>
      <c r="J108" s="4"/>
      <c r="K108" s="4"/>
      <c r="L108" s="199"/>
    </row>
    <row r="109" spans="1:12" s="3" customFormat="1" x14ac:dyDescent="0.35">
      <c r="A109" s="12">
        <v>4</v>
      </c>
      <c r="B109" s="2" t="s">
        <v>41</v>
      </c>
      <c r="C109" s="4"/>
      <c r="D109" s="4"/>
      <c r="E109" s="4"/>
      <c r="F109" s="4"/>
      <c r="G109" s="5"/>
      <c r="H109" s="4"/>
      <c r="I109" s="5"/>
      <c r="J109" s="4"/>
      <c r="K109" s="4"/>
      <c r="L109" s="199"/>
    </row>
    <row r="110" spans="1:12" s="3" customFormat="1" x14ac:dyDescent="0.35">
      <c r="A110" s="12"/>
      <c r="B110" s="7" t="s">
        <v>233</v>
      </c>
      <c r="C110" s="98" t="str">
        <f>D28</f>
        <v>DEBDA0319-T1-BC.4</v>
      </c>
      <c r="D110" s="4"/>
      <c r="E110" s="4"/>
      <c r="F110" s="4"/>
      <c r="G110" s="5"/>
      <c r="H110" s="4"/>
      <c r="I110" s="5"/>
      <c r="J110" s="4"/>
      <c r="K110" s="4"/>
      <c r="L110" s="199"/>
    </row>
    <row r="111" spans="1:12" s="3" customFormat="1" x14ac:dyDescent="0.35">
      <c r="A111" s="13"/>
      <c r="B111" s="7" t="s">
        <v>235</v>
      </c>
      <c r="C111" s="91">
        <v>264.72000000000003</v>
      </c>
      <c r="D111" s="27" t="s">
        <v>234</v>
      </c>
      <c r="E111" s="166"/>
      <c r="F111" s="4"/>
      <c r="G111" s="4"/>
      <c r="H111" s="166"/>
      <c r="I111" s="5"/>
      <c r="J111" s="4"/>
      <c r="K111" s="4"/>
      <c r="L111" s="199"/>
    </row>
    <row r="112" spans="1:12" s="3" customFormat="1" x14ac:dyDescent="0.35">
      <c r="A112" s="13"/>
      <c r="B112" s="7"/>
      <c r="C112" s="7"/>
      <c r="D112" s="27"/>
      <c r="E112" s="4"/>
      <c r="F112" s="4"/>
      <c r="G112" s="4"/>
      <c r="H112" s="4"/>
      <c r="I112" s="5"/>
      <c r="J112" s="4"/>
      <c r="K112" s="4"/>
      <c r="L112" s="199"/>
    </row>
    <row r="113" spans="1:12" s="3" customFormat="1" x14ac:dyDescent="0.35">
      <c r="A113" s="13"/>
      <c r="B113" s="4"/>
      <c r="C113" s="4"/>
      <c r="D113" s="4"/>
      <c r="E113" s="4"/>
      <c r="F113" s="4"/>
      <c r="G113" s="5"/>
      <c r="H113" s="4"/>
      <c r="I113" s="5"/>
      <c r="J113" s="4"/>
      <c r="K113" s="4"/>
      <c r="L113" s="199"/>
    </row>
    <row r="114" spans="1:12" s="3" customFormat="1" x14ac:dyDescent="0.35">
      <c r="A114" s="12">
        <v>5</v>
      </c>
      <c r="B114" s="2" t="s">
        <v>42</v>
      </c>
      <c r="C114" s="4"/>
      <c r="D114" s="4"/>
      <c r="E114" s="4"/>
      <c r="F114" s="4"/>
      <c r="G114" s="5"/>
      <c r="H114" s="4"/>
      <c r="I114" s="5"/>
      <c r="J114" s="4"/>
      <c r="K114" s="4"/>
      <c r="L114" s="199"/>
    </row>
    <row r="115" spans="1:12" s="3" customFormat="1" x14ac:dyDescent="0.35">
      <c r="A115" s="13"/>
      <c r="B115" s="7" t="s">
        <v>236</v>
      </c>
      <c r="C115" s="98" t="s">
        <v>237</v>
      </c>
      <c r="D115" s="4"/>
      <c r="E115" s="4"/>
      <c r="F115" s="4"/>
      <c r="G115" s="5"/>
      <c r="H115" s="4"/>
      <c r="I115" s="5"/>
      <c r="J115" s="4"/>
      <c r="K115" s="4"/>
      <c r="L115" s="199"/>
    </row>
    <row r="116" spans="1:12" s="3" customFormat="1" x14ac:dyDescent="0.35">
      <c r="A116" s="13"/>
      <c r="B116" s="7" t="s">
        <v>238</v>
      </c>
      <c r="C116" s="91"/>
      <c r="D116" s="27" t="s">
        <v>239</v>
      </c>
      <c r="E116" s="4"/>
      <c r="F116" s="4"/>
      <c r="G116" s="5"/>
      <c r="H116" s="4"/>
      <c r="I116" s="5"/>
      <c r="J116" s="4"/>
      <c r="K116" s="4"/>
      <c r="L116" s="199"/>
    </row>
    <row r="117" spans="1:12" s="3" customFormat="1" x14ac:dyDescent="0.35">
      <c r="A117" s="13"/>
      <c r="B117" s="4"/>
      <c r="C117" s="4"/>
      <c r="D117" s="80"/>
      <c r="E117" s="4"/>
      <c r="F117" s="4"/>
      <c r="G117" s="5"/>
      <c r="H117" s="4"/>
      <c r="I117" s="5"/>
      <c r="J117" s="4"/>
      <c r="K117" s="4"/>
      <c r="L117" s="199"/>
    </row>
    <row r="118" spans="1:12" s="3" customFormat="1" x14ac:dyDescent="0.35">
      <c r="A118" s="13"/>
      <c r="B118" s="4"/>
      <c r="C118" s="4"/>
      <c r="D118" s="80"/>
      <c r="E118" s="4"/>
      <c r="F118" s="4"/>
      <c r="G118" s="5"/>
      <c r="H118" s="4"/>
      <c r="I118" s="5"/>
      <c r="J118" s="4"/>
      <c r="K118" s="4"/>
      <c r="L118" s="199"/>
    </row>
    <row r="119" spans="1:12" s="3" customFormat="1" x14ac:dyDescent="0.35">
      <c r="A119" s="12">
        <v>6</v>
      </c>
      <c r="B119" s="2" t="s">
        <v>161</v>
      </c>
      <c r="C119" s="4"/>
      <c r="D119" s="4"/>
      <c r="E119" s="4"/>
      <c r="F119" s="4"/>
      <c r="G119" s="5"/>
      <c r="H119" s="4"/>
      <c r="I119" s="5"/>
      <c r="J119" s="4"/>
      <c r="K119" s="4"/>
      <c r="L119" s="199"/>
    </row>
    <row r="120" spans="1:12" s="3" customFormat="1" x14ac:dyDescent="0.35">
      <c r="A120" s="13"/>
      <c r="C120" s="8" t="s">
        <v>43</v>
      </c>
      <c r="D120" s="8" t="s">
        <v>52</v>
      </c>
      <c r="E120" s="8" t="s">
        <v>48</v>
      </c>
      <c r="F120" s="4"/>
      <c r="G120" s="5"/>
      <c r="H120" s="4"/>
      <c r="I120" s="5"/>
      <c r="J120" s="4"/>
      <c r="K120" s="4"/>
      <c r="L120" s="199"/>
    </row>
    <row r="121" spans="1:12" s="3" customFormat="1" x14ac:dyDescent="0.35">
      <c r="A121" s="13"/>
      <c r="C121" s="15"/>
      <c r="D121" s="15">
        <v>0</v>
      </c>
      <c r="E121" s="15">
        <v>0</v>
      </c>
      <c r="F121" s="4"/>
      <c r="G121" s="5"/>
      <c r="H121" s="4"/>
      <c r="I121" s="5"/>
      <c r="J121" s="4"/>
      <c r="K121" s="4"/>
      <c r="L121" s="199"/>
    </row>
    <row r="122" spans="1:12" s="3" customFormat="1" x14ac:dyDescent="0.35">
      <c r="A122" s="13"/>
      <c r="B122" s="4"/>
      <c r="C122" s="4"/>
      <c r="D122" s="4"/>
      <c r="E122" s="4"/>
      <c r="F122" s="4"/>
      <c r="G122" s="5"/>
      <c r="H122" s="4"/>
      <c r="I122" s="5"/>
      <c r="J122" s="4"/>
      <c r="K122" s="4"/>
      <c r="L122" s="199"/>
    </row>
    <row r="123" spans="1:12" s="3" customFormat="1" x14ac:dyDescent="0.35">
      <c r="A123" s="12"/>
      <c r="C123" s="257" t="s">
        <v>162</v>
      </c>
      <c r="D123" s="257"/>
      <c r="E123" s="257"/>
      <c r="F123" s="4"/>
      <c r="G123" s="5"/>
      <c r="H123" s="4"/>
      <c r="I123" s="5"/>
      <c r="J123" s="4"/>
      <c r="K123" s="4"/>
      <c r="L123" s="199"/>
    </row>
    <row r="124" spans="1:12" s="3" customFormat="1" x14ac:dyDescent="0.35">
      <c r="A124" s="13"/>
      <c r="B124" s="4"/>
      <c r="C124" s="8" t="s">
        <v>44</v>
      </c>
      <c r="D124" s="8" t="s">
        <v>47</v>
      </c>
      <c r="E124" s="8" t="s">
        <v>38</v>
      </c>
      <c r="F124" s="4"/>
      <c r="G124" s="5"/>
      <c r="H124" s="4"/>
      <c r="I124" s="5"/>
      <c r="J124" s="4"/>
      <c r="K124" s="4"/>
      <c r="L124" s="199"/>
    </row>
    <row r="125" spans="1:12" s="3" customFormat="1" x14ac:dyDescent="0.35">
      <c r="A125" s="13"/>
      <c r="B125" s="7" t="s">
        <v>45</v>
      </c>
      <c r="C125" s="14">
        <v>0</v>
      </c>
      <c r="D125" s="14">
        <v>0</v>
      </c>
      <c r="E125" s="14"/>
      <c r="F125" s="4"/>
      <c r="G125" s="5"/>
      <c r="H125" s="4"/>
      <c r="I125" s="5"/>
      <c r="J125" s="4"/>
      <c r="K125" s="4"/>
      <c r="L125" s="199"/>
    </row>
    <row r="126" spans="1:12" s="3" customFormat="1" x14ac:dyDescent="0.35">
      <c r="A126" s="13"/>
      <c r="B126" s="7" t="s">
        <v>46</v>
      </c>
      <c r="C126" s="14">
        <v>0</v>
      </c>
      <c r="D126" s="14">
        <v>0</v>
      </c>
      <c r="E126" s="14"/>
      <c r="F126" s="4"/>
      <c r="G126" s="5"/>
      <c r="H126" s="4"/>
      <c r="I126" s="5"/>
      <c r="J126" s="4"/>
      <c r="K126" s="4"/>
      <c r="L126" s="199"/>
    </row>
    <row r="127" spans="1:12" s="3" customFormat="1" x14ac:dyDescent="0.35">
      <c r="A127" s="13"/>
      <c r="B127" s="4"/>
      <c r="C127" s="4"/>
      <c r="D127" s="4"/>
      <c r="E127" s="4"/>
      <c r="F127" s="4"/>
      <c r="G127" s="5"/>
      <c r="H127" s="4"/>
      <c r="I127" s="5"/>
      <c r="J127" s="4"/>
      <c r="K127" s="4"/>
      <c r="L127" s="199"/>
    </row>
    <row r="128" spans="1:12" s="3" customFormat="1" x14ac:dyDescent="0.35">
      <c r="A128" s="12"/>
      <c r="B128" s="7" t="s">
        <v>163</v>
      </c>
      <c r="C128" s="113">
        <f>SUM(C121:E121,C125:D126)</f>
        <v>0</v>
      </c>
      <c r="D128" s="4"/>
      <c r="E128" s="4"/>
      <c r="F128" s="4"/>
      <c r="G128" s="5"/>
      <c r="H128" s="4"/>
      <c r="I128" s="5"/>
      <c r="J128" s="4"/>
      <c r="K128" s="4"/>
      <c r="L128" s="199"/>
    </row>
    <row r="129" spans="1:33" s="3" customFormat="1" x14ac:dyDescent="0.35">
      <c r="A129" s="13"/>
      <c r="E129" s="4"/>
      <c r="F129" s="4"/>
      <c r="G129" s="5"/>
      <c r="H129" s="4"/>
      <c r="I129" s="5"/>
      <c r="J129" s="4"/>
      <c r="K129" s="4"/>
      <c r="L129" s="199"/>
    </row>
    <row r="130" spans="1:33" s="3" customFormat="1" x14ac:dyDescent="0.35">
      <c r="A130" s="13"/>
      <c r="B130" s="4"/>
      <c r="C130" s="4"/>
      <c r="D130" s="4"/>
      <c r="E130" s="4"/>
      <c r="F130" s="4"/>
      <c r="G130" s="5"/>
      <c r="H130" s="4"/>
      <c r="I130" s="5"/>
      <c r="J130" s="4"/>
      <c r="K130" s="4"/>
      <c r="L130" s="199"/>
    </row>
    <row r="131" spans="1:33" s="3" customFormat="1" x14ac:dyDescent="0.35">
      <c r="A131" s="12">
        <v>7</v>
      </c>
      <c r="B131" s="2" t="s">
        <v>123</v>
      </c>
      <c r="C131" s="4"/>
      <c r="D131" s="28"/>
      <c r="E131" s="4"/>
      <c r="F131" s="4"/>
      <c r="G131" s="5"/>
      <c r="H131" s="4"/>
      <c r="I131" s="5"/>
      <c r="J131" s="4"/>
      <c r="K131" s="4"/>
      <c r="L131" s="199"/>
    </row>
    <row r="132" spans="1:33" s="3" customFormat="1" ht="28.5" x14ac:dyDescent="0.35">
      <c r="A132" s="13"/>
      <c r="B132" s="29" t="s">
        <v>49</v>
      </c>
      <c r="C132" s="29" t="s">
        <v>50</v>
      </c>
      <c r="D132" s="242" t="s">
        <v>164</v>
      </c>
      <c r="E132" s="243"/>
      <c r="F132" s="243"/>
      <c r="G132" s="243"/>
      <c r="H132" s="30" t="s">
        <v>53</v>
      </c>
      <c r="I132" s="29" t="s">
        <v>54</v>
      </c>
      <c r="J132" s="29" t="s">
        <v>55</v>
      </c>
      <c r="K132" s="29" t="s">
        <v>56</v>
      </c>
      <c r="L132" s="202" t="s">
        <v>57</v>
      </c>
    </row>
    <row r="133" spans="1:33" s="3" customFormat="1" x14ac:dyDescent="0.35">
      <c r="A133" s="13"/>
      <c r="B133" s="31">
        <f>SUM(D62,D68,D74,D80)</f>
        <v>1644.78</v>
      </c>
      <c r="C133" s="31">
        <f>SUM(E100:E101,E106:E107)</f>
        <v>0</v>
      </c>
      <c r="D133" s="244">
        <f>C128</f>
        <v>0</v>
      </c>
      <c r="E133" s="245"/>
      <c r="F133" s="245"/>
      <c r="G133" s="246"/>
      <c r="H133" s="31">
        <f>C111</f>
        <v>264.72000000000003</v>
      </c>
      <c r="I133" s="32">
        <f>SUM(B133:H133)</f>
        <v>1909.5</v>
      </c>
      <c r="J133" s="33">
        <f>SUM(D50:D53)</f>
        <v>1418.1818181818182</v>
      </c>
      <c r="K133" s="32">
        <f>J133-I133</f>
        <v>-491.31818181818176</v>
      </c>
      <c r="L133" s="236">
        <f>K133/J133</f>
        <v>-0.34644230769230766</v>
      </c>
      <c r="M133" s="85" t="s">
        <v>309</v>
      </c>
    </row>
    <row r="134" spans="1:33" s="3" customFormat="1" x14ac:dyDescent="0.35">
      <c r="A134" s="13"/>
      <c r="B134" s="4"/>
      <c r="C134" s="4"/>
      <c r="D134" s="4"/>
      <c r="E134" s="4"/>
      <c r="F134" s="4"/>
      <c r="G134" s="5"/>
      <c r="H134" s="5"/>
      <c r="I134" s="4"/>
      <c r="J134" s="4"/>
      <c r="K134" s="4"/>
      <c r="L134" s="198"/>
      <c r="M134" s="86" t="s">
        <v>67</v>
      </c>
    </row>
    <row r="135" spans="1:33" s="3" customFormat="1" x14ac:dyDescent="0.35">
      <c r="A135" s="13"/>
      <c r="B135" s="4"/>
      <c r="C135" s="4"/>
      <c r="D135" s="4"/>
      <c r="E135" s="4"/>
      <c r="F135" s="4"/>
      <c r="G135" s="5"/>
      <c r="H135" s="5"/>
      <c r="I135" s="4"/>
      <c r="J135" s="4"/>
      <c r="K135" s="4"/>
      <c r="L135" s="198"/>
      <c r="M135" s="86"/>
    </row>
    <row r="136" spans="1:33" s="3" customFormat="1" hidden="1" x14ac:dyDescent="0.35">
      <c r="A136" s="12">
        <v>8</v>
      </c>
      <c r="B136" s="65" t="s">
        <v>124</v>
      </c>
      <c r="D136" s="92"/>
      <c r="E136" s="92"/>
      <c r="F136" s="92"/>
      <c r="G136" s="92"/>
      <c r="H136" s="300" t="s">
        <v>151</v>
      </c>
      <c r="I136" s="301"/>
      <c r="J136" s="301"/>
      <c r="K136" s="92"/>
      <c r="L136" s="203"/>
      <c r="M136" s="92"/>
    </row>
    <row r="137" spans="1:33" s="3" customFormat="1" ht="26" hidden="1" x14ac:dyDescent="0.35">
      <c r="A137" s="8" t="s">
        <v>125</v>
      </c>
      <c r="B137" s="8" t="s">
        <v>153</v>
      </c>
      <c r="C137" s="10" t="s">
        <v>65</v>
      </c>
      <c r="D137" s="10" t="s">
        <v>104</v>
      </c>
      <c r="E137" s="10" t="s">
        <v>117</v>
      </c>
      <c r="F137" s="10" t="s">
        <v>249</v>
      </c>
      <c r="G137" s="8" t="s">
        <v>250</v>
      </c>
      <c r="H137" s="8" t="s">
        <v>126</v>
      </c>
      <c r="I137" s="8" t="s">
        <v>127</v>
      </c>
      <c r="J137" s="8" t="s">
        <v>168</v>
      </c>
      <c r="K137" s="10" t="s">
        <v>41</v>
      </c>
      <c r="L137" s="204" t="s">
        <v>167</v>
      </c>
      <c r="M137" s="10" t="s">
        <v>169</v>
      </c>
      <c r="N137" s="10" t="s">
        <v>128</v>
      </c>
    </row>
    <row r="138" spans="1:33" s="3" customFormat="1" ht="26" hidden="1" x14ac:dyDescent="0.35">
      <c r="A138" s="93">
        <f>$B$44</f>
        <v>46233</v>
      </c>
      <c r="B138" s="93" t="str">
        <f>$C$41</f>
        <v>308/VII</v>
      </c>
      <c r="C138" s="75">
        <f t="shared" ref="C138:F141" si="6">B25</f>
        <v>1</v>
      </c>
      <c r="D138" s="75" t="str">
        <f t="shared" si="6"/>
        <v>DEBDA0319-T1</v>
      </c>
      <c r="E138" s="75" t="str">
        <f t="shared" si="6"/>
        <v>DEBDA0319-T1-BC.1</v>
      </c>
      <c r="F138" s="107">
        <f t="shared" si="6"/>
        <v>354.54545454545456</v>
      </c>
      <c r="G138" s="43">
        <f>D62</f>
        <v>1644.78</v>
      </c>
      <c r="H138" s="303">
        <f>E106</f>
        <v>0</v>
      </c>
      <c r="I138" s="303">
        <f>F106</f>
        <v>0</v>
      </c>
      <c r="J138" s="303">
        <f>G106</f>
        <v>0</v>
      </c>
      <c r="K138" s="42">
        <v>0</v>
      </c>
      <c r="L138" s="205">
        <f>G138+H138+I138+J138+K138</f>
        <v>1644.78</v>
      </c>
      <c r="M138" s="42">
        <f>L138-F138</f>
        <v>1290.2345454545455</v>
      </c>
      <c r="N138" s="34">
        <f>M138/F138</f>
        <v>3.6391230769230769</v>
      </c>
    </row>
    <row r="139" spans="1:33" s="38" customFormat="1" ht="26" hidden="1" x14ac:dyDescent="0.3">
      <c r="A139" s="93">
        <f t="shared" ref="A139:A141" si="7">$B$44</f>
        <v>46233</v>
      </c>
      <c r="B139" s="93" t="str">
        <f t="shared" ref="B139:B141" si="8">$C$41</f>
        <v>308/VII</v>
      </c>
      <c r="C139" s="75">
        <f t="shared" si="6"/>
        <v>1</v>
      </c>
      <c r="D139" s="75" t="str">
        <f t="shared" si="6"/>
        <v>DEBDA0319-T1</v>
      </c>
      <c r="E139" s="75" t="str">
        <f t="shared" si="6"/>
        <v>DEBDA0319-T1-BC.2</v>
      </c>
      <c r="F139" s="107">
        <f t="shared" si="6"/>
        <v>354.54545454545456</v>
      </c>
      <c r="G139" s="43">
        <f>D68</f>
        <v>0</v>
      </c>
      <c r="H139" s="304"/>
      <c r="I139" s="304"/>
      <c r="J139" s="304"/>
      <c r="K139" s="42">
        <v>0</v>
      </c>
      <c r="L139" s="205">
        <f t="shared" ref="L139:L140" si="9">G139+H139+I139+J139+K139</f>
        <v>0</v>
      </c>
      <c r="M139" s="42">
        <f t="shared" ref="M139:M141" si="10">L139-F139</f>
        <v>-354.54545454545456</v>
      </c>
      <c r="N139" s="34">
        <f>M139/F139</f>
        <v>-1</v>
      </c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 spans="1:33" s="38" customFormat="1" ht="26" hidden="1" x14ac:dyDescent="0.3">
      <c r="A140" s="93">
        <f t="shared" si="7"/>
        <v>46233</v>
      </c>
      <c r="B140" s="93" t="str">
        <f t="shared" si="8"/>
        <v>308/VII</v>
      </c>
      <c r="C140" s="75">
        <f t="shared" si="6"/>
        <v>1</v>
      </c>
      <c r="D140" s="75" t="str">
        <f t="shared" si="6"/>
        <v>DEBDA0319-T1</v>
      </c>
      <c r="E140" s="75" t="str">
        <f t="shared" si="6"/>
        <v>DEBDA0319-T1-BC.3</v>
      </c>
      <c r="F140" s="107">
        <f t="shared" si="6"/>
        <v>354.54545454545456</v>
      </c>
      <c r="G140" s="43">
        <f>D74</f>
        <v>0</v>
      </c>
      <c r="H140" s="304"/>
      <c r="I140" s="304"/>
      <c r="J140" s="304"/>
      <c r="K140" s="42">
        <v>0</v>
      </c>
      <c r="L140" s="205">
        <f t="shared" si="9"/>
        <v>0</v>
      </c>
      <c r="M140" s="42">
        <f t="shared" si="10"/>
        <v>-354.54545454545456</v>
      </c>
      <c r="N140" s="34">
        <f>M140/F140</f>
        <v>-1</v>
      </c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 spans="1:33" s="38" customFormat="1" ht="26" hidden="1" x14ac:dyDescent="0.3">
      <c r="A141" s="93">
        <f t="shared" si="7"/>
        <v>46233</v>
      </c>
      <c r="B141" s="93" t="str">
        <f t="shared" si="8"/>
        <v>308/VII</v>
      </c>
      <c r="C141" s="75">
        <f t="shared" si="6"/>
        <v>1</v>
      </c>
      <c r="D141" s="75" t="str">
        <f t="shared" si="6"/>
        <v>DEBDA0319-T1</v>
      </c>
      <c r="E141" s="75" t="str">
        <f t="shared" si="6"/>
        <v>DEBDA0319-T1-BC.4</v>
      </c>
      <c r="F141" s="107">
        <f t="shared" si="6"/>
        <v>354.54545454545456</v>
      </c>
      <c r="G141" s="42">
        <f>D80</f>
        <v>0</v>
      </c>
      <c r="H141" s="305"/>
      <c r="I141" s="305"/>
      <c r="J141" s="305"/>
      <c r="K141" s="42">
        <f>C111</f>
        <v>264.72000000000003</v>
      </c>
      <c r="L141" s="205">
        <f>G141+H138+I138+J138+K141</f>
        <v>264.72000000000003</v>
      </c>
      <c r="M141" s="42">
        <f t="shared" si="10"/>
        <v>-89.825454545454534</v>
      </c>
      <c r="N141" s="34">
        <f>M141/F141</f>
        <v>-0.2533538461538461</v>
      </c>
      <c r="O141" s="108" t="s">
        <v>152</v>
      </c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 spans="1:33" s="3" customFormat="1" x14ac:dyDescent="0.35">
      <c r="G142" s="6"/>
      <c r="I142" s="6"/>
      <c r="K142" s="54"/>
      <c r="L142" s="198"/>
    </row>
    <row r="143" spans="1:33" s="3" customFormat="1" x14ac:dyDescent="0.35">
      <c r="G143" s="35" t="s">
        <v>58</v>
      </c>
      <c r="H143" s="36" t="s">
        <v>59</v>
      </c>
      <c r="I143" s="6"/>
      <c r="L143" s="198"/>
    </row>
    <row r="144" spans="1:33" s="3" customFormat="1" x14ac:dyDescent="0.35">
      <c r="G144" s="37" t="s">
        <v>60</v>
      </c>
      <c r="I144" s="6"/>
      <c r="L144" s="198"/>
    </row>
    <row r="145" spans="1:25" s="3" customFormat="1" x14ac:dyDescent="0.35">
      <c r="G145" s="3" t="s">
        <v>61</v>
      </c>
      <c r="I145" s="6"/>
      <c r="L145" s="198"/>
    </row>
    <row r="146" spans="1:25" s="3" customFormat="1" x14ac:dyDescent="0.35">
      <c r="G146" s="3" t="s">
        <v>62</v>
      </c>
      <c r="H146" s="4"/>
      <c r="I146" s="6"/>
      <c r="L146" s="198"/>
    </row>
    <row r="148" spans="1:25" x14ac:dyDescent="0.35">
      <c r="A148" s="296" t="s">
        <v>154</v>
      </c>
      <c r="B148" s="296"/>
      <c r="C148" s="296"/>
      <c r="D148" s="296"/>
      <c r="E148" s="296"/>
      <c r="F148" s="296"/>
      <c r="G148" s="296"/>
      <c r="H148" s="296"/>
      <c r="I148" s="296"/>
      <c r="J148" s="296"/>
      <c r="K148" s="296"/>
      <c r="L148" s="296"/>
    </row>
    <row r="150" spans="1:25" s="3" customFormat="1" x14ac:dyDescent="0.35">
      <c r="B150" s="4"/>
      <c r="C150" s="4"/>
      <c r="D150" s="4"/>
      <c r="E150" s="4"/>
      <c r="G150" s="257" t="s">
        <v>68</v>
      </c>
      <c r="H150" s="257"/>
      <c r="I150" s="257"/>
      <c r="J150" s="257"/>
      <c r="K150" s="257"/>
      <c r="L150" s="257"/>
      <c r="M150" s="257"/>
      <c r="N150" s="257"/>
      <c r="P150" s="247" t="s">
        <v>311</v>
      </c>
      <c r="Q150" s="247"/>
      <c r="R150" s="247"/>
      <c r="S150" s="247"/>
      <c r="T150" s="247"/>
      <c r="U150" s="247"/>
      <c r="V150" s="247"/>
      <c r="W150" s="247"/>
    </row>
    <row r="151" spans="1:25" s="3" customFormat="1" ht="65" x14ac:dyDescent="0.35">
      <c r="A151" s="8" t="s">
        <v>33</v>
      </c>
      <c r="B151" s="8" t="s">
        <v>70</v>
      </c>
      <c r="C151" s="10" t="s">
        <v>310</v>
      </c>
      <c r="D151" s="8" t="s">
        <v>72</v>
      </c>
      <c r="E151" s="8" t="s">
        <v>34</v>
      </c>
      <c r="F151" s="47" t="s">
        <v>73</v>
      </c>
      <c r="G151" s="8" t="s">
        <v>74</v>
      </c>
      <c r="H151" s="10" t="s">
        <v>156</v>
      </c>
      <c r="I151" s="10" t="s">
        <v>75</v>
      </c>
      <c r="J151" s="10" t="s">
        <v>76</v>
      </c>
      <c r="K151" s="10" t="s">
        <v>158</v>
      </c>
      <c r="L151" s="206" t="s">
        <v>78</v>
      </c>
      <c r="M151" s="48" t="s">
        <v>79</v>
      </c>
      <c r="N151" s="48" t="s">
        <v>80</v>
      </c>
      <c r="O151" s="48" t="s">
        <v>81</v>
      </c>
      <c r="P151" s="48" t="s">
        <v>82</v>
      </c>
      <c r="Q151" s="10" t="s">
        <v>157</v>
      </c>
      <c r="R151" s="10" t="s">
        <v>83</v>
      </c>
      <c r="S151" s="10" t="s">
        <v>84</v>
      </c>
      <c r="T151" s="10" t="s">
        <v>85</v>
      </c>
      <c r="U151" s="48" t="s">
        <v>86</v>
      </c>
      <c r="V151" s="48" t="s">
        <v>87</v>
      </c>
      <c r="W151" s="48" t="s">
        <v>88</v>
      </c>
    </row>
    <row r="152" spans="1:25" s="3" customFormat="1" x14ac:dyDescent="0.35">
      <c r="A152" s="43">
        <v>1</v>
      </c>
      <c r="B152" s="109" t="str">
        <f>C57</f>
        <v>Canal C75.75 PRE B</v>
      </c>
      <c r="C152" s="44">
        <f>B133</f>
        <v>1644.78</v>
      </c>
      <c r="D152" s="49">
        <f>E62</f>
        <v>4.74</v>
      </c>
      <c r="E152" s="43">
        <v>6</v>
      </c>
      <c r="F152" s="50">
        <v>11805</v>
      </c>
      <c r="G152" s="50">
        <f>F152*D152</f>
        <v>55955.700000000004</v>
      </c>
      <c r="H152" s="49">
        <f>400*D152</f>
        <v>1896</v>
      </c>
      <c r="I152" s="50">
        <f>300*D152</f>
        <v>1422</v>
      </c>
      <c r="J152" s="49">
        <f>500*D152</f>
        <v>2370</v>
      </c>
      <c r="K152" s="49">
        <f>150*D152</f>
        <v>711</v>
      </c>
      <c r="L152" s="207">
        <f>200*D152</f>
        <v>948</v>
      </c>
      <c r="M152" s="49">
        <f>2%*G152</f>
        <v>1119.114</v>
      </c>
      <c r="N152" s="51">
        <f>SUM(G152:M152)</f>
        <v>64421.814000000006</v>
      </c>
      <c r="O152" s="110">
        <f>SUM(C62,C68,C74,C80)</f>
        <v>347</v>
      </c>
      <c r="P152" s="49">
        <f>$O152*G152</f>
        <v>19416627.900000002</v>
      </c>
      <c r="Q152" s="49">
        <f t="shared" ref="Q152:V153" si="11">$O152*H152</f>
        <v>657912</v>
      </c>
      <c r="R152" s="49">
        <f t="shared" si="11"/>
        <v>493434</v>
      </c>
      <c r="S152" s="49">
        <f t="shared" si="11"/>
        <v>822390</v>
      </c>
      <c r="T152" s="49">
        <f t="shared" si="11"/>
        <v>246717</v>
      </c>
      <c r="U152" s="49">
        <f t="shared" si="11"/>
        <v>328956</v>
      </c>
      <c r="V152" s="49">
        <f t="shared" si="11"/>
        <v>388332.55800000002</v>
      </c>
      <c r="W152" s="51">
        <f>O152*N152</f>
        <v>22354369.458000001</v>
      </c>
      <c r="X152" s="54"/>
    </row>
    <row r="153" spans="1:25" s="3" customFormat="1" x14ac:dyDescent="0.35">
      <c r="A153" s="43">
        <v>2</v>
      </c>
      <c r="B153" s="109"/>
      <c r="C153" s="43"/>
      <c r="D153" s="49"/>
      <c r="E153" s="43"/>
      <c r="F153" s="52"/>
      <c r="G153" s="50">
        <f t="shared" ref="G153" si="12">F153*D153</f>
        <v>0</v>
      </c>
      <c r="H153" s="49">
        <f t="shared" ref="H153" si="13">400*D153</f>
        <v>0</v>
      </c>
      <c r="I153" s="50">
        <f t="shared" ref="I153" si="14">300*D153</f>
        <v>0</v>
      </c>
      <c r="J153" s="49">
        <f>500*D153</f>
        <v>0</v>
      </c>
      <c r="K153" s="49">
        <f t="shared" ref="K153" si="15">200*D153</f>
        <v>0</v>
      </c>
      <c r="L153" s="207">
        <f>200*D153</f>
        <v>0</v>
      </c>
      <c r="M153" s="49">
        <f>2%*G153</f>
        <v>0</v>
      </c>
      <c r="N153" s="51">
        <f>SUM(G153:M153)</f>
        <v>0</v>
      </c>
      <c r="O153" s="43"/>
      <c r="P153" s="49">
        <f>$O$128*G153</f>
        <v>0</v>
      </c>
      <c r="Q153" s="49">
        <f t="shared" si="11"/>
        <v>0</v>
      </c>
      <c r="R153" s="49">
        <f t="shared" si="11"/>
        <v>0</v>
      </c>
      <c r="S153" s="49">
        <f t="shared" si="11"/>
        <v>0</v>
      </c>
      <c r="T153" s="49">
        <f t="shared" si="11"/>
        <v>0</v>
      </c>
      <c r="U153" s="49">
        <f t="shared" si="11"/>
        <v>0</v>
      </c>
      <c r="V153" s="49">
        <f t="shared" si="11"/>
        <v>0</v>
      </c>
      <c r="W153" s="51">
        <f>O153*N153</f>
        <v>0</v>
      </c>
    </row>
    <row r="154" spans="1:25" s="3" customFormat="1" x14ac:dyDescent="0.35">
      <c r="A154" s="13"/>
      <c r="B154" s="53"/>
      <c r="C154" s="12">
        <f>SUM(C152:C153)</f>
        <v>1644.78</v>
      </c>
      <c r="D154" s="54"/>
      <c r="E154" s="13"/>
      <c r="F154" s="6"/>
      <c r="G154" s="6"/>
      <c r="H154" s="54"/>
      <c r="I154" s="6"/>
      <c r="L154" s="208"/>
      <c r="M154" s="54"/>
      <c r="N154" s="54"/>
      <c r="P154" s="55">
        <f t="shared" ref="P154:V154" si="16">SUM(P152:P153)</f>
        <v>19416627.900000002</v>
      </c>
      <c r="Q154" s="55">
        <f t="shared" si="16"/>
        <v>657912</v>
      </c>
      <c r="R154" s="55">
        <f t="shared" si="16"/>
        <v>493434</v>
      </c>
      <c r="S154" s="55">
        <f t="shared" si="16"/>
        <v>822390</v>
      </c>
      <c r="T154" s="55">
        <f t="shared" si="16"/>
        <v>246717</v>
      </c>
      <c r="U154" s="55">
        <f t="shared" si="16"/>
        <v>328956</v>
      </c>
      <c r="V154" s="55">
        <f t="shared" si="16"/>
        <v>388332.55800000002</v>
      </c>
    </row>
    <row r="155" spans="1:25" s="3" customFormat="1" x14ac:dyDescent="0.35">
      <c r="A155" s="13"/>
      <c r="B155" s="53"/>
      <c r="C155" s="12"/>
      <c r="D155" s="54"/>
      <c r="E155" s="13"/>
      <c r="F155" s="6"/>
      <c r="G155" s="6"/>
      <c r="H155" s="54"/>
      <c r="I155" s="6"/>
      <c r="J155" s="54"/>
      <c r="K155" s="54"/>
      <c r="L155" s="198"/>
      <c r="N155" s="55"/>
      <c r="O155" s="55"/>
      <c r="P155" s="55"/>
    </row>
    <row r="156" spans="1:25" s="3" customFormat="1" x14ac:dyDescent="0.35">
      <c r="A156" s="45" t="s">
        <v>89</v>
      </c>
      <c r="B156" s="53"/>
      <c r="C156" s="13"/>
      <c r="D156" s="54"/>
      <c r="E156" s="13"/>
      <c r="F156" s="56"/>
      <c r="G156" s="6"/>
      <c r="I156" s="6"/>
      <c r="K156" s="6"/>
      <c r="L156" s="198"/>
    </row>
    <row r="157" spans="1:25" s="3" customFormat="1" x14ac:dyDescent="0.35">
      <c r="A157" s="45" t="s">
        <v>90</v>
      </c>
      <c r="B157" s="53"/>
      <c r="C157" s="13"/>
      <c r="D157" s="54"/>
      <c r="E157" s="13"/>
      <c r="F157" s="6"/>
      <c r="G157" s="297" t="s">
        <v>68</v>
      </c>
      <c r="H157" s="298"/>
      <c r="I157" s="298"/>
      <c r="J157" s="298"/>
      <c r="K157" s="298"/>
      <c r="L157" s="298"/>
      <c r="M157" s="298"/>
      <c r="N157" s="299"/>
      <c r="P157" s="300" t="s">
        <v>170</v>
      </c>
      <c r="Q157" s="301"/>
      <c r="R157" s="301"/>
      <c r="S157" s="301"/>
      <c r="T157" s="301"/>
      <c r="U157" s="301"/>
      <c r="V157" s="301"/>
      <c r="W157" s="302"/>
    </row>
    <row r="158" spans="1:25" s="3" customFormat="1" ht="65" x14ac:dyDescent="0.35">
      <c r="A158" s="8" t="s">
        <v>33</v>
      </c>
      <c r="B158" s="8" t="s">
        <v>70</v>
      </c>
      <c r="C158" s="8" t="s">
        <v>71</v>
      </c>
      <c r="D158" s="8" t="s">
        <v>72</v>
      </c>
      <c r="E158" s="8" t="s">
        <v>34</v>
      </c>
      <c r="F158" s="47" t="s">
        <v>73</v>
      </c>
      <c r="G158" s="8" t="s">
        <v>74</v>
      </c>
      <c r="H158" s="10" t="s">
        <v>159</v>
      </c>
      <c r="I158" s="10" t="s">
        <v>75</v>
      </c>
      <c r="J158" s="10" t="s">
        <v>76</v>
      </c>
      <c r="K158" s="10" t="s">
        <v>77</v>
      </c>
      <c r="L158" s="206" t="s">
        <v>78</v>
      </c>
      <c r="M158" s="48" t="s">
        <v>79</v>
      </c>
      <c r="N158" s="48" t="s">
        <v>80</v>
      </c>
      <c r="O158" s="57" t="s">
        <v>91</v>
      </c>
      <c r="P158" s="48" t="s">
        <v>82</v>
      </c>
      <c r="Q158" s="10" t="s">
        <v>157</v>
      </c>
      <c r="R158" s="10" t="s">
        <v>83</v>
      </c>
      <c r="S158" s="10" t="s">
        <v>92</v>
      </c>
      <c r="T158" s="10" t="s">
        <v>85</v>
      </c>
      <c r="U158" s="48" t="s">
        <v>86</v>
      </c>
      <c r="V158" s="48" t="s">
        <v>87</v>
      </c>
      <c r="W158" s="48" t="s">
        <v>88</v>
      </c>
      <c r="X158" s="48" t="s">
        <v>171</v>
      </c>
      <c r="Y158" s="48" t="s">
        <v>240</v>
      </c>
    </row>
    <row r="159" spans="1:25" s="3" customFormat="1" ht="26" x14ac:dyDescent="0.35">
      <c r="A159" s="43">
        <v>1</v>
      </c>
      <c r="B159" s="58" t="str">
        <f>G100</f>
        <v>(Select Master Product)-KW 2</v>
      </c>
      <c r="C159" s="130">
        <f>E100</f>
        <v>0</v>
      </c>
      <c r="D159" s="49">
        <f>F100</f>
        <v>0</v>
      </c>
      <c r="E159" s="43">
        <f>C100</f>
        <v>0</v>
      </c>
      <c r="F159" s="50">
        <v>11805</v>
      </c>
      <c r="G159" s="50">
        <f>F159*D159</f>
        <v>0</v>
      </c>
      <c r="H159" s="49">
        <f>400*D159</f>
        <v>0</v>
      </c>
      <c r="I159" s="50">
        <f>300*D159</f>
        <v>0</v>
      </c>
      <c r="J159" s="49">
        <f>500*D159</f>
        <v>0</v>
      </c>
      <c r="K159" s="49">
        <f>200*D159</f>
        <v>0</v>
      </c>
      <c r="L159" s="207">
        <f>200*D159</f>
        <v>0</v>
      </c>
      <c r="M159" s="49">
        <f>2%*G159</f>
        <v>0</v>
      </c>
      <c r="N159" s="51">
        <f>SUM(G159:M159)</f>
        <v>0</v>
      </c>
      <c r="O159" s="131">
        <f>D100</f>
        <v>0</v>
      </c>
      <c r="P159" s="49">
        <f t="shared" ref="P159:V159" si="17">G159*80%*$O$159</f>
        <v>0</v>
      </c>
      <c r="Q159" s="49">
        <f t="shared" si="17"/>
        <v>0</v>
      </c>
      <c r="R159" s="49">
        <f t="shared" si="17"/>
        <v>0</v>
      </c>
      <c r="S159" s="49">
        <f t="shared" si="17"/>
        <v>0</v>
      </c>
      <c r="T159" s="49">
        <f t="shared" si="17"/>
        <v>0</v>
      </c>
      <c r="U159" s="49">
        <f t="shared" si="17"/>
        <v>0</v>
      </c>
      <c r="V159" s="49">
        <f t="shared" si="17"/>
        <v>0</v>
      </c>
      <c r="W159" s="51">
        <f>SUM(P159:V159)</f>
        <v>0</v>
      </c>
      <c r="X159" s="51">
        <f>W159*80%</f>
        <v>0</v>
      </c>
      <c r="Y159" s="51">
        <f>W159*20%</f>
        <v>0</v>
      </c>
    </row>
    <row r="160" spans="1:25" s="3" customFormat="1" x14ac:dyDescent="0.35">
      <c r="A160" s="13"/>
      <c r="B160" s="59"/>
      <c r="C160" s="12">
        <f>SUM(C159)</f>
        <v>0</v>
      </c>
      <c r="D160" s="54"/>
      <c r="E160" s="13"/>
      <c r="F160" s="60"/>
      <c r="G160" s="60"/>
      <c r="H160" s="55"/>
      <c r="I160" s="60"/>
      <c r="J160" s="54"/>
      <c r="K160" s="54"/>
      <c r="L160" s="198"/>
    </row>
    <row r="161" spans="1:25" s="3" customFormat="1" x14ac:dyDescent="0.35">
      <c r="A161" s="13"/>
      <c r="B161" s="59"/>
      <c r="C161" s="12"/>
      <c r="D161" s="54"/>
      <c r="E161" s="13"/>
      <c r="F161" s="60"/>
      <c r="G161" s="60"/>
      <c r="H161" s="55"/>
      <c r="I161" s="60"/>
      <c r="J161" s="54"/>
      <c r="K161" s="54"/>
      <c r="L161" s="198"/>
    </row>
    <row r="162" spans="1:25" s="3" customFormat="1" x14ac:dyDescent="0.35">
      <c r="A162" s="13"/>
      <c r="B162" s="53"/>
      <c r="D162" s="54"/>
      <c r="E162" s="13"/>
      <c r="F162" s="6"/>
      <c r="G162" s="6"/>
      <c r="H162" s="54"/>
      <c r="I162" s="6"/>
      <c r="J162" s="54"/>
      <c r="K162" s="54"/>
      <c r="L162" s="198"/>
    </row>
    <row r="163" spans="1:25" s="3" customFormat="1" x14ac:dyDescent="0.35">
      <c r="A163" s="45" t="s">
        <v>93</v>
      </c>
      <c r="B163" s="53"/>
      <c r="C163" s="13"/>
      <c r="D163" s="54"/>
      <c r="E163" s="13"/>
      <c r="F163" s="6"/>
      <c r="G163" s="297" t="s">
        <v>68</v>
      </c>
      <c r="H163" s="298"/>
      <c r="I163" s="298"/>
      <c r="J163" s="298"/>
      <c r="K163" s="298"/>
      <c r="L163" s="298"/>
      <c r="M163" s="298"/>
      <c r="N163" s="299"/>
      <c r="P163" s="300" t="s">
        <v>170</v>
      </c>
      <c r="Q163" s="301"/>
      <c r="R163" s="301"/>
      <c r="S163" s="301"/>
      <c r="T163" s="301"/>
      <c r="U163" s="301"/>
      <c r="V163" s="301"/>
      <c r="W163" s="302"/>
    </row>
    <row r="164" spans="1:25" s="3" customFormat="1" ht="65" x14ac:dyDescent="0.35">
      <c r="A164" s="8" t="s">
        <v>33</v>
      </c>
      <c r="B164" s="8" t="s">
        <v>70</v>
      </c>
      <c r="C164" s="8" t="s">
        <v>71</v>
      </c>
      <c r="D164" s="8" t="s">
        <v>72</v>
      </c>
      <c r="E164" s="8" t="s">
        <v>34</v>
      </c>
      <c r="F164" s="47" t="s">
        <v>73</v>
      </c>
      <c r="G164" s="8" t="s">
        <v>74</v>
      </c>
      <c r="H164" s="10" t="s">
        <v>159</v>
      </c>
      <c r="I164" s="10" t="s">
        <v>75</v>
      </c>
      <c r="J164" s="10" t="s">
        <v>76</v>
      </c>
      <c r="K164" s="10" t="s">
        <v>77</v>
      </c>
      <c r="L164" s="206" t="s">
        <v>78</v>
      </c>
      <c r="M164" s="48" t="s">
        <v>79</v>
      </c>
      <c r="N164" s="48" t="s">
        <v>80</v>
      </c>
      <c r="O164" s="57" t="s">
        <v>91</v>
      </c>
      <c r="P164" s="48" t="s">
        <v>82</v>
      </c>
      <c r="Q164" s="10" t="s">
        <v>157</v>
      </c>
      <c r="R164" s="10" t="s">
        <v>83</v>
      </c>
      <c r="S164" s="10" t="s">
        <v>92</v>
      </c>
      <c r="T164" s="10" t="s">
        <v>85</v>
      </c>
      <c r="U164" s="48" t="s">
        <v>86</v>
      </c>
      <c r="V164" s="48" t="s">
        <v>87</v>
      </c>
      <c r="W164" s="48" t="s">
        <v>88</v>
      </c>
      <c r="X164" s="48" t="s">
        <v>171</v>
      </c>
      <c r="Y164" s="48" t="s">
        <v>240</v>
      </c>
    </row>
    <row r="165" spans="1:25" s="3" customFormat="1" x14ac:dyDescent="0.35">
      <c r="A165" s="43">
        <v>1</v>
      </c>
      <c r="B165" s="58">
        <f>G106</f>
        <v>0</v>
      </c>
      <c r="C165" s="130">
        <f>E106</f>
        <v>0</v>
      </c>
      <c r="D165" s="49">
        <f>F106</f>
        <v>0</v>
      </c>
      <c r="E165" s="43">
        <f>C106</f>
        <v>0</v>
      </c>
      <c r="F165" s="50">
        <v>11805</v>
      </c>
      <c r="G165" s="50">
        <f>F165*D165</f>
        <v>0</v>
      </c>
      <c r="H165" s="49">
        <f>400*D165</f>
        <v>0</v>
      </c>
      <c r="I165" s="50">
        <f>300*D165</f>
        <v>0</v>
      </c>
      <c r="J165" s="49">
        <f>500*D165</f>
        <v>0</v>
      </c>
      <c r="K165" s="49">
        <f>200*D165</f>
        <v>0</v>
      </c>
      <c r="L165" s="207">
        <f>200*D165</f>
        <v>0</v>
      </c>
      <c r="M165" s="49">
        <f>2%*G165</f>
        <v>0</v>
      </c>
      <c r="N165" s="51">
        <f>SUM(G165:M165)</f>
        <v>0</v>
      </c>
      <c r="O165" s="131">
        <f>D106</f>
        <v>0</v>
      </c>
      <c r="P165" s="49">
        <f t="shared" ref="P165:V165" si="18">G165*80%*$O$159</f>
        <v>0</v>
      </c>
      <c r="Q165" s="49">
        <f t="shared" si="18"/>
        <v>0</v>
      </c>
      <c r="R165" s="49">
        <f t="shared" si="18"/>
        <v>0</v>
      </c>
      <c r="S165" s="49">
        <f t="shared" si="18"/>
        <v>0</v>
      </c>
      <c r="T165" s="49">
        <f t="shared" si="18"/>
        <v>0</v>
      </c>
      <c r="U165" s="49">
        <f t="shared" si="18"/>
        <v>0</v>
      </c>
      <c r="V165" s="49">
        <f t="shared" si="18"/>
        <v>0</v>
      </c>
      <c r="W165" s="51">
        <f>SUM(P165:V165)</f>
        <v>0</v>
      </c>
      <c r="X165" s="51">
        <f>W165*80%</f>
        <v>0</v>
      </c>
      <c r="Y165" s="51">
        <f>W165*20%</f>
        <v>0</v>
      </c>
    </row>
    <row r="166" spans="1:25" s="3" customFormat="1" x14ac:dyDescent="0.35">
      <c r="A166" s="13"/>
      <c r="B166" s="59"/>
      <c r="C166" s="12">
        <f>SUM(C165)</f>
        <v>0</v>
      </c>
      <c r="D166" s="54"/>
      <c r="E166" s="13"/>
      <c r="F166" s="60"/>
      <c r="G166" s="60"/>
      <c r="H166" s="55"/>
      <c r="I166" s="60"/>
      <c r="J166" s="54"/>
      <c r="K166" s="54"/>
      <c r="L166" s="198"/>
    </row>
    <row r="167" spans="1:25" s="3" customFormat="1" x14ac:dyDescent="0.35">
      <c r="A167" s="13"/>
      <c r="B167" s="53"/>
      <c r="C167" s="13"/>
      <c r="D167" s="54"/>
      <c r="E167" s="13"/>
      <c r="F167" s="6"/>
      <c r="G167" s="6"/>
      <c r="H167" s="54"/>
      <c r="I167" s="6"/>
      <c r="J167" s="54"/>
      <c r="K167" s="54"/>
      <c r="L167" s="198"/>
    </row>
    <row r="168" spans="1:25" s="3" customFormat="1" x14ac:dyDescent="0.35">
      <c r="A168" s="45" t="s">
        <v>161</v>
      </c>
      <c r="B168" s="53"/>
      <c r="C168" s="13"/>
      <c r="D168" s="54"/>
      <c r="E168" s="13"/>
      <c r="F168" s="6"/>
      <c r="G168" s="6"/>
      <c r="H168" s="54"/>
      <c r="I168" s="6"/>
      <c r="J168" s="54"/>
      <c r="K168" s="54"/>
      <c r="L168" s="198"/>
    </row>
    <row r="169" spans="1:25" s="3" customFormat="1" x14ac:dyDescent="0.35">
      <c r="B169" s="18"/>
      <c r="C169" s="18"/>
      <c r="D169" s="18"/>
      <c r="E169" s="18"/>
      <c r="F169" s="18"/>
      <c r="G169" s="18"/>
      <c r="H169" s="18"/>
      <c r="I169" s="5"/>
      <c r="J169" s="4"/>
      <c r="K169" s="4"/>
      <c r="L169" s="199"/>
    </row>
    <row r="170" spans="1:25" s="3" customFormat="1" ht="39" x14ac:dyDescent="0.35">
      <c r="B170" s="8" t="s">
        <v>33</v>
      </c>
      <c r="C170" s="8" t="s">
        <v>94</v>
      </c>
      <c r="D170" s="8" t="s">
        <v>95</v>
      </c>
      <c r="E170" s="61" t="s">
        <v>96</v>
      </c>
      <c r="F170" s="10" t="s">
        <v>321</v>
      </c>
      <c r="G170" s="10" t="s">
        <v>322</v>
      </c>
      <c r="I170" s="6"/>
      <c r="L170" s="198"/>
    </row>
    <row r="171" spans="1:25" s="3" customFormat="1" x14ac:dyDescent="0.35">
      <c r="B171" s="43">
        <v>1</v>
      </c>
      <c r="C171" s="46" t="s">
        <v>172</v>
      </c>
      <c r="D171" s="62">
        <f>C125</f>
        <v>0</v>
      </c>
      <c r="E171" s="50">
        <v>11805</v>
      </c>
      <c r="F171" s="63">
        <f>D171*E171*40%</f>
        <v>0</v>
      </c>
      <c r="G171" s="63">
        <f>D171*E171*60%</f>
        <v>0</v>
      </c>
      <c r="H171" s="4"/>
      <c r="I171" s="5"/>
      <c r="J171" s="4"/>
      <c r="K171" s="4"/>
      <c r="L171" s="199"/>
    </row>
    <row r="172" spans="1:25" s="3" customFormat="1" x14ac:dyDescent="0.35">
      <c r="B172" s="43">
        <v>2</v>
      </c>
      <c r="C172" s="46" t="s">
        <v>173</v>
      </c>
      <c r="D172" s="62">
        <f>D125</f>
        <v>0</v>
      </c>
      <c r="E172" s="50">
        <v>11805</v>
      </c>
      <c r="F172" s="63">
        <f t="shared" ref="F172:F177" si="19">D172*E172*40%</f>
        <v>0</v>
      </c>
      <c r="G172" s="63">
        <f t="shared" ref="G172:G177" si="20">D172*E172*60%</f>
        <v>0</v>
      </c>
      <c r="H172" s="4"/>
      <c r="I172" s="5"/>
      <c r="J172" s="4"/>
      <c r="K172" s="4"/>
      <c r="L172" s="199"/>
    </row>
    <row r="173" spans="1:25" s="3" customFormat="1" x14ac:dyDescent="0.35">
      <c r="B173" s="43">
        <v>3</v>
      </c>
      <c r="C173" s="46" t="s">
        <v>174</v>
      </c>
      <c r="D173" s="62">
        <f>C126</f>
        <v>0</v>
      </c>
      <c r="E173" s="50">
        <v>11805</v>
      </c>
      <c r="F173" s="63">
        <f t="shared" si="19"/>
        <v>0</v>
      </c>
      <c r="G173" s="63">
        <f t="shared" si="20"/>
        <v>0</v>
      </c>
      <c r="H173" s="4"/>
      <c r="I173" s="5"/>
      <c r="J173" s="4"/>
      <c r="K173" s="4"/>
      <c r="L173" s="199"/>
    </row>
    <row r="174" spans="1:25" s="3" customFormat="1" x14ac:dyDescent="0.35">
      <c r="B174" s="43">
        <v>4</v>
      </c>
      <c r="C174" s="46" t="s">
        <v>175</v>
      </c>
      <c r="D174" s="62">
        <f>D126</f>
        <v>0</v>
      </c>
      <c r="E174" s="50">
        <v>11805</v>
      </c>
      <c r="F174" s="63">
        <f t="shared" si="19"/>
        <v>0</v>
      </c>
      <c r="G174" s="63">
        <f t="shared" si="20"/>
        <v>0</v>
      </c>
      <c r="H174" s="4"/>
      <c r="I174" s="5"/>
      <c r="J174" s="4"/>
      <c r="K174" s="4"/>
      <c r="L174" s="199"/>
    </row>
    <row r="175" spans="1:25" s="3" customFormat="1" x14ac:dyDescent="0.35">
      <c r="B175" s="43">
        <v>5</v>
      </c>
      <c r="C175" s="46" t="s">
        <v>51</v>
      </c>
      <c r="D175" s="62">
        <f>C121</f>
        <v>0</v>
      </c>
      <c r="E175" s="50">
        <v>11805</v>
      </c>
      <c r="F175" s="63">
        <f t="shared" si="19"/>
        <v>0</v>
      </c>
      <c r="G175" s="63">
        <f t="shared" si="20"/>
        <v>0</v>
      </c>
      <c r="H175" s="4"/>
      <c r="I175" s="5"/>
      <c r="J175" s="4"/>
      <c r="K175" s="4"/>
      <c r="L175" s="199"/>
    </row>
    <row r="176" spans="1:25" s="3" customFormat="1" x14ac:dyDescent="0.35">
      <c r="B176" s="43">
        <v>6</v>
      </c>
      <c r="C176" s="46" t="s">
        <v>52</v>
      </c>
      <c r="D176" s="62">
        <f>D121</f>
        <v>0</v>
      </c>
      <c r="E176" s="50">
        <v>11805</v>
      </c>
      <c r="F176" s="63">
        <f t="shared" si="19"/>
        <v>0</v>
      </c>
      <c r="G176" s="63">
        <f t="shared" si="20"/>
        <v>0</v>
      </c>
      <c r="H176" s="4"/>
      <c r="I176" s="5"/>
      <c r="J176" s="4"/>
      <c r="K176" s="4"/>
      <c r="L176" s="199"/>
    </row>
    <row r="177" spans="1:12" s="3" customFormat="1" x14ac:dyDescent="0.35">
      <c r="B177" s="43">
        <v>7</v>
      </c>
      <c r="C177" s="46" t="s">
        <v>48</v>
      </c>
      <c r="D177" s="62">
        <f>E121</f>
        <v>0</v>
      </c>
      <c r="E177" s="50">
        <v>11805</v>
      </c>
      <c r="F177" s="63">
        <f t="shared" si="19"/>
        <v>0</v>
      </c>
      <c r="G177" s="63">
        <f t="shared" si="20"/>
        <v>0</v>
      </c>
      <c r="H177" s="4"/>
      <c r="I177" s="5"/>
      <c r="J177" s="4"/>
      <c r="K177" s="4"/>
      <c r="L177" s="199"/>
    </row>
    <row r="178" spans="1:12" s="3" customFormat="1" x14ac:dyDescent="0.35">
      <c r="C178" s="64"/>
      <c r="E178" s="132" t="s">
        <v>176</v>
      </c>
      <c r="F178" s="68">
        <f>SUM(F171:F177)</f>
        <v>0</v>
      </c>
      <c r="G178" s="68">
        <f>SUM(G171:G177)</f>
        <v>0</v>
      </c>
      <c r="H178" s="4"/>
      <c r="I178" s="5"/>
      <c r="J178" s="4"/>
      <c r="K178" s="4"/>
      <c r="L178" s="199"/>
    </row>
    <row r="179" spans="1:12" s="3" customFormat="1" x14ac:dyDescent="0.35">
      <c r="C179" s="64"/>
      <c r="E179" s="132"/>
      <c r="F179" s="68"/>
      <c r="G179" s="68"/>
      <c r="H179" s="4"/>
      <c r="I179" s="5"/>
      <c r="J179" s="4"/>
      <c r="K179" s="4"/>
      <c r="L179" s="199"/>
    </row>
    <row r="180" spans="1:12" s="3" customFormat="1" x14ac:dyDescent="0.35">
      <c r="A180" s="45" t="s">
        <v>41</v>
      </c>
      <c r="L180" s="198"/>
    </row>
    <row r="181" spans="1:12" s="3" customFormat="1" ht="26" x14ac:dyDescent="0.35">
      <c r="A181" s="8" t="s">
        <v>33</v>
      </c>
      <c r="B181" s="8" t="s">
        <v>94</v>
      </c>
      <c r="C181" s="8" t="s">
        <v>95</v>
      </c>
      <c r="D181" s="61" t="s">
        <v>96</v>
      </c>
      <c r="E181" s="10" t="s">
        <v>99</v>
      </c>
      <c r="L181" s="198"/>
    </row>
    <row r="182" spans="1:12" s="3" customFormat="1" x14ac:dyDescent="0.35">
      <c r="A182" s="43">
        <v>1</v>
      </c>
      <c r="B182" s="46" t="str">
        <f>C110</f>
        <v>DEBDA0319-T1-BC.4</v>
      </c>
      <c r="C182" s="44">
        <f>C111</f>
        <v>264.72000000000003</v>
      </c>
      <c r="D182" s="50">
        <v>11805</v>
      </c>
      <c r="E182" s="66">
        <f>C182*D182</f>
        <v>3125019.6</v>
      </c>
      <c r="H182" s="18"/>
      <c r="I182" s="5"/>
      <c r="J182" s="4"/>
      <c r="K182" s="4"/>
      <c r="L182" s="199"/>
    </row>
    <row r="183" spans="1:12" s="3" customFormat="1" x14ac:dyDescent="0.35">
      <c r="A183" s="18"/>
      <c r="B183" s="18"/>
      <c r="C183" s="64"/>
      <c r="H183" s="18"/>
      <c r="I183" s="5"/>
      <c r="J183" s="4"/>
      <c r="K183" s="4"/>
      <c r="L183" s="199"/>
    </row>
    <row r="184" spans="1:12" s="3" customFormat="1" x14ac:dyDescent="0.35">
      <c r="A184" s="45" t="s">
        <v>205</v>
      </c>
      <c r="F184" s="55"/>
      <c r="G184" s="5"/>
      <c r="H184" s="4"/>
      <c r="I184" s="5"/>
      <c r="J184" s="4"/>
      <c r="K184" s="4"/>
      <c r="L184" s="199"/>
    </row>
    <row r="185" spans="1:12" s="3" customFormat="1" ht="26" x14ac:dyDescent="0.35">
      <c r="A185" s="8" t="s">
        <v>33</v>
      </c>
      <c r="B185" s="8" t="s">
        <v>94</v>
      </c>
      <c r="C185" s="8" t="s">
        <v>95</v>
      </c>
      <c r="D185" s="61" t="s">
        <v>96</v>
      </c>
      <c r="E185" s="10" t="s">
        <v>99</v>
      </c>
      <c r="F185" s="55"/>
      <c r="G185" s="5"/>
      <c r="H185" s="4"/>
      <c r="I185" s="5"/>
      <c r="J185" s="4"/>
      <c r="K185" s="4"/>
      <c r="L185" s="199"/>
    </row>
    <row r="186" spans="1:12" s="3" customFormat="1" x14ac:dyDescent="0.35">
      <c r="A186" s="43">
        <v>1</v>
      </c>
      <c r="B186" s="46" t="str">
        <f>C115</f>
        <v>(Select Baby Coil)</v>
      </c>
      <c r="C186" s="44">
        <f>C116</f>
        <v>0</v>
      </c>
      <c r="D186" s="50">
        <v>11805</v>
      </c>
      <c r="E186" s="66">
        <f>C186*D186</f>
        <v>0</v>
      </c>
      <c r="F186" s="55"/>
      <c r="G186" s="5"/>
      <c r="H186" s="4"/>
      <c r="I186" s="5"/>
      <c r="J186" s="4"/>
      <c r="K186" s="4"/>
      <c r="L186" s="199"/>
    </row>
    <row r="187" spans="1:12" s="3" customFormat="1" x14ac:dyDescent="0.35">
      <c r="C187" s="64"/>
      <c r="F187" s="55"/>
      <c r="G187" s="5"/>
      <c r="H187" s="4"/>
      <c r="I187" s="5"/>
      <c r="J187" s="4"/>
      <c r="K187" s="4"/>
      <c r="L187" s="199"/>
    </row>
    <row r="188" spans="1:12" s="3" customFormat="1" x14ac:dyDescent="0.35">
      <c r="A188" s="65" t="s">
        <v>100</v>
      </c>
      <c r="C188" s="64"/>
      <c r="F188" s="55"/>
      <c r="G188" s="5"/>
      <c r="H188" s="4"/>
      <c r="I188" s="5"/>
      <c r="J188" s="4"/>
      <c r="K188" s="4"/>
      <c r="L188" s="199"/>
    </row>
    <row r="189" spans="1:12" s="3" customFormat="1" ht="26" x14ac:dyDescent="0.35">
      <c r="A189" s="8" t="s">
        <v>33</v>
      </c>
      <c r="B189" s="8" t="s">
        <v>94</v>
      </c>
      <c r="C189" s="8" t="s">
        <v>95</v>
      </c>
      <c r="D189" s="10" t="s">
        <v>96</v>
      </c>
      <c r="E189" s="10" t="s">
        <v>99</v>
      </c>
      <c r="F189" s="55"/>
      <c r="G189" s="5"/>
      <c r="H189" s="4"/>
      <c r="I189" s="5"/>
      <c r="J189" s="4"/>
      <c r="K189" s="4"/>
      <c r="L189" s="199"/>
    </row>
    <row r="190" spans="1:12" s="3" customFormat="1" x14ac:dyDescent="0.35">
      <c r="A190" s="43">
        <v>1</v>
      </c>
      <c r="B190" s="67" t="s">
        <v>100</v>
      </c>
      <c r="C190" s="62">
        <f>K133</f>
        <v>-491.31818181818176</v>
      </c>
      <c r="D190" s="50">
        <v>11805</v>
      </c>
      <c r="E190" s="51">
        <f>C190*D190</f>
        <v>-5800011.1363636358</v>
      </c>
      <c r="F190" s="55"/>
      <c r="G190" s="5"/>
      <c r="H190" s="4"/>
      <c r="I190" s="5"/>
      <c r="J190" s="4"/>
      <c r="K190" s="4"/>
      <c r="L190" s="199"/>
    </row>
    <row r="192" spans="1:12" x14ac:dyDescent="0.35">
      <c r="A192" s="295" t="s">
        <v>101</v>
      </c>
      <c r="B192" s="295"/>
      <c r="C192" s="295"/>
      <c r="D192" s="295"/>
      <c r="E192" s="295"/>
      <c r="F192" s="295"/>
      <c r="G192" s="295"/>
      <c r="H192" s="295"/>
      <c r="I192" s="295"/>
      <c r="J192" s="295"/>
    </row>
    <row r="194" spans="1:12" s="137" customFormat="1" x14ac:dyDescent="0.35">
      <c r="A194" s="288" t="s">
        <v>33</v>
      </c>
      <c r="B194" s="288" t="s">
        <v>177</v>
      </c>
      <c r="C194" s="288" t="s">
        <v>178</v>
      </c>
      <c r="D194" s="288" t="s">
        <v>179</v>
      </c>
      <c r="E194" s="289" t="s">
        <v>101</v>
      </c>
      <c r="F194" s="290"/>
      <c r="G194" s="290"/>
      <c r="H194" s="290"/>
      <c r="I194" s="290"/>
      <c r="L194" s="209"/>
    </row>
    <row r="195" spans="1:12" s="137" customFormat="1" x14ac:dyDescent="0.35">
      <c r="A195" s="288"/>
      <c r="B195" s="288"/>
      <c r="C195" s="288"/>
      <c r="D195" s="288"/>
      <c r="E195" s="138" t="s">
        <v>180</v>
      </c>
      <c r="F195" s="138" t="s">
        <v>181</v>
      </c>
      <c r="G195" s="136" t="s">
        <v>182</v>
      </c>
      <c r="H195" s="136" t="s">
        <v>102</v>
      </c>
      <c r="I195" s="136" t="s">
        <v>103</v>
      </c>
      <c r="L195" s="209"/>
    </row>
    <row r="196" spans="1:12" s="137" customFormat="1" x14ac:dyDescent="0.35">
      <c r="A196" s="136"/>
      <c r="B196" s="153"/>
      <c r="C196" s="153"/>
      <c r="D196" s="153"/>
      <c r="E196" s="285" t="s">
        <v>220</v>
      </c>
      <c r="F196" s="286"/>
      <c r="G196" s="287"/>
      <c r="L196" s="209"/>
    </row>
    <row r="197" spans="1:12" s="137" customFormat="1" ht="29" customHeight="1" x14ac:dyDescent="0.35">
      <c r="A197" s="292">
        <v>1</v>
      </c>
      <c r="B197" s="293" t="s">
        <v>183</v>
      </c>
      <c r="C197" s="293"/>
      <c r="D197" s="196" t="s">
        <v>323</v>
      </c>
      <c r="E197" s="142">
        <v>1169143</v>
      </c>
      <c r="F197" s="133" t="s">
        <v>207</v>
      </c>
      <c r="G197" s="133" t="s">
        <v>241</v>
      </c>
      <c r="H197" s="149">
        <f>SUM(P154,P159,P165)</f>
        <v>19416627.900000002</v>
      </c>
      <c r="I197" s="145"/>
      <c r="J197" s="291" t="s">
        <v>214</v>
      </c>
      <c r="L197" s="209"/>
    </row>
    <row r="198" spans="1:12" s="137" customFormat="1" x14ac:dyDescent="0.35">
      <c r="A198" s="292"/>
      <c r="B198" s="293"/>
      <c r="C198" s="293"/>
      <c r="D198" s="153"/>
      <c r="E198" s="143">
        <v>1169174</v>
      </c>
      <c r="F198" s="133" t="s">
        <v>208</v>
      </c>
      <c r="G198" s="133" t="s">
        <v>242</v>
      </c>
      <c r="H198" s="149">
        <f>SUM(Q154,Q159,Q165)</f>
        <v>657912</v>
      </c>
      <c r="I198" s="145"/>
      <c r="J198" s="291"/>
      <c r="L198" s="209"/>
    </row>
    <row r="199" spans="1:12" s="137" customFormat="1" ht="31" customHeight="1" x14ac:dyDescent="0.35">
      <c r="A199" s="292"/>
      <c r="B199" s="293"/>
      <c r="C199" s="293"/>
      <c r="D199" s="153"/>
      <c r="E199" s="142">
        <v>1169263</v>
      </c>
      <c r="F199" s="133" t="s">
        <v>209</v>
      </c>
      <c r="G199" s="133" t="s">
        <v>243</v>
      </c>
      <c r="H199" s="149">
        <f>SUM(R154,R159,R165)</f>
        <v>493434</v>
      </c>
      <c r="I199" s="145"/>
      <c r="J199" s="291"/>
      <c r="L199" s="209"/>
    </row>
    <row r="200" spans="1:12" s="137" customFormat="1" ht="30" customHeight="1" x14ac:dyDescent="0.35">
      <c r="A200" s="292"/>
      <c r="B200" s="293"/>
      <c r="C200" s="293"/>
      <c r="D200" s="153"/>
      <c r="E200" s="142">
        <v>1169202</v>
      </c>
      <c r="F200" s="133" t="s">
        <v>210</v>
      </c>
      <c r="G200" s="133" t="s">
        <v>244</v>
      </c>
      <c r="H200" s="149">
        <f>SUM(S154,S159,S165)</f>
        <v>822390</v>
      </c>
      <c r="I200" s="145"/>
      <c r="J200" s="291"/>
      <c r="L200" s="209"/>
    </row>
    <row r="201" spans="1:12" s="137" customFormat="1" ht="28.5" customHeight="1" x14ac:dyDescent="0.35">
      <c r="A201" s="292"/>
      <c r="B201" s="293"/>
      <c r="C201" s="293"/>
      <c r="D201" s="153"/>
      <c r="E201" s="142">
        <v>1169233</v>
      </c>
      <c r="F201" s="133" t="s">
        <v>211</v>
      </c>
      <c r="G201" s="133" t="s">
        <v>245</v>
      </c>
      <c r="H201" s="149">
        <f>SUM(T154,T159,T165)</f>
        <v>246717</v>
      </c>
      <c r="I201" s="145"/>
      <c r="J201" s="291"/>
      <c r="L201" s="209"/>
    </row>
    <row r="202" spans="1:12" s="137" customFormat="1" ht="28.5" customHeight="1" x14ac:dyDescent="0.35">
      <c r="A202" s="292"/>
      <c r="B202" s="293"/>
      <c r="C202" s="293"/>
      <c r="D202" s="153"/>
      <c r="E202" s="142">
        <v>1169294</v>
      </c>
      <c r="F202" s="133" t="s">
        <v>212</v>
      </c>
      <c r="G202" s="133" t="s">
        <v>246</v>
      </c>
      <c r="H202" s="149">
        <f>SUM(U154,U159,U165)</f>
        <v>328956</v>
      </c>
      <c r="I202" s="145"/>
      <c r="J202" s="291"/>
      <c r="L202" s="209"/>
    </row>
    <row r="203" spans="1:12" s="137" customFormat="1" ht="28.5" customHeight="1" x14ac:dyDescent="0.35">
      <c r="A203" s="292"/>
      <c r="B203" s="293"/>
      <c r="C203" s="293"/>
      <c r="D203" s="153"/>
      <c r="E203" s="142">
        <v>1169324</v>
      </c>
      <c r="F203" s="133" t="s">
        <v>213</v>
      </c>
      <c r="G203" s="133" t="s">
        <v>247</v>
      </c>
      <c r="H203" s="149">
        <f>SUM(V154,V159,V165)</f>
        <v>388332.55800000002</v>
      </c>
      <c r="I203" s="145"/>
      <c r="J203" s="291"/>
      <c r="L203" s="209"/>
    </row>
    <row r="204" spans="1:12" s="137" customFormat="1" ht="28.5" customHeight="1" x14ac:dyDescent="0.35">
      <c r="A204" s="292"/>
      <c r="B204" s="293"/>
      <c r="C204" s="293"/>
      <c r="D204" s="153"/>
      <c r="E204" s="142"/>
      <c r="F204" s="134" t="s">
        <v>215</v>
      </c>
      <c r="G204" s="144"/>
      <c r="H204" s="146"/>
      <c r="I204" s="152">
        <f>SUM(Y159,Y165)</f>
        <v>0</v>
      </c>
      <c r="J204" s="291"/>
      <c r="L204" s="209"/>
    </row>
    <row r="205" spans="1:12" s="137" customFormat="1" ht="14.5" customHeight="1" x14ac:dyDescent="0.35">
      <c r="A205" s="292"/>
      <c r="B205" s="293"/>
      <c r="C205" s="293"/>
      <c r="D205" s="153"/>
      <c r="E205" s="285" t="s">
        <v>221</v>
      </c>
      <c r="F205" s="286"/>
      <c r="G205" s="287"/>
      <c r="H205" s="155"/>
      <c r="I205" s="156"/>
      <c r="L205" s="209"/>
    </row>
    <row r="206" spans="1:12" s="137" customFormat="1" ht="28.5" customHeight="1" x14ac:dyDescent="0.35">
      <c r="A206" s="292"/>
      <c r="B206" s="293"/>
      <c r="C206" s="293"/>
      <c r="D206" s="153"/>
      <c r="E206" s="142" t="s">
        <v>184</v>
      </c>
      <c r="F206" s="133" t="s">
        <v>185</v>
      </c>
      <c r="G206" s="133" t="s">
        <v>188</v>
      </c>
      <c r="H206" s="146">
        <f>F178</f>
        <v>0</v>
      </c>
      <c r="I206" s="145"/>
      <c r="J206" s="291" t="s">
        <v>252</v>
      </c>
      <c r="L206" s="209"/>
    </row>
    <row r="207" spans="1:12" s="137" customFormat="1" ht="28.5" customHeight="1" x14ac:dyDescent="0.35">
      <c r="A207" s="292"/>
      <c r="B207" s="293"/>
      <c r="C207" s="293"/>
      <c r="D207" s="153"/>
      <c r="E207" s="142" t="s">
        <v>191</v>
      </c>
      <c r="F207" s="133" t="s">
        <v>192</v>
      </c>
      <c r="G207" s="133" t="s">
        <v>193</v>
      </c>
      <c r="H207" s="146">
        <f>E182</f>
        <v>3125019.6</v>
      </c>
      <c r="I207" s="145"/>
      <c r="J207" s="291"/>
      <c r="L207" s="209"/>
    </row>
    <row r="208" spans="1:12" s="137" customFormat="1" ht="28.5" customHeight="1" x14ac:dyDescent="0.35">
      <c r="A208" s="292"/>
      <c r="B208" s="293"/>
      <c r="C208" s="293"/>
      <c r="D208" s="153"/>
      <c r="E208" s="142"/>
      <c r="F208" s="133" t="s">
        <v>206</v>
      </c>
      <c r="G208" s="133"/>
      <c r="H208" s="146">
        <f>E186</f>
        <v>0</v>
      </c>
      <c r="I208" s="145"/>
      <c r="J208" s="291"/>
      <c r="L208" s="209"/>
    </row>
    <row r="209" spans="1:12" s="137" customFormat="1" ht="28.5" customHeight="1" x14ac:dyDescent="0.35">
      <c r="A209" s="292"/>
      <c r="B209" s="293"/>
      <c r="C209" s="293"/>
      <c r="D209" s="153"/>
      <c r="E209" s="134" t="s">
        <v>195</v>
      </c>
      <c r="F209" s="134" t="s">
        <v>248</v>
      </c>
      <c r="G209" s="134" t="s">
        <v>251</v>
      </c>
      <c r="H209" s="145"/>
      <c r="I209" s="146">
        <f>(SUM(D50:D53))*F152</f>
        <v>16741636.363636365</v>
      </c>
      <c r="J209" s="291"/>
      <c r="L209" s="209"/>
    </row>
    <row r="210" spans="1:12" s="137" customFormat="1" hidden="1" x14ac:dyDescent="0.35">
      <c r="A210" s="292"/>
      <c r="B210" s="293"/>
      <c r="C210" s="293"/>
      <c r="D210" s="153"/>
      <c r="E210" s="285" t="s">
        <v>224</v>
      </c>
      <c r="F210" s="286"/>
      <c r="G210" s="287"/>
      <c r="H210" s="155"/>
      <c r="I210" s="156"/>
      <c r="L210" s="209"/>
    </row>
    <row r="211" spans="1:12" s="137" customFormat="1" ht="28.5" hidden="1" customHeight="1" x14ac:dyDescent="0.35">
      <c r="A211" s="292"/>
      <c r="B211" s="293"/>
      <c r="C211" s="293"/>
      <c r="D211" s="180"/>
      <c r="E211" s="181">
        <v>1207129</v>
      </c>
      <c r="F211" s="182" t="s">
        <v>187</v>
      </c>
      <c r="G211" s="182" t="s">
        <v>186</v>
      </c>
      <c r="H211" s="183">
        <f>G178</f>
        <v>0</v>
      </c>
      <c r="I211" s="184"/>
      <c r="J211" s="294" t="s">
        <v>216</v>
      </c>
      <c r="L211" s="209"/>
    </row>
    <row r="212" spans="1:12" s="137" customFormat="1" ht="28.5" hidden="1" customHeight="1" x14ac:dyDescent="0.35">
      <c r="A212" s="292"/>
      <c r="B212" s="293"/>
      <c r="C212" s="293"/>
      <c r="D212" s="180"/>
      <c r="E212" s="185"/>
      <c r="F212" s="186" t="s">
        <v>194</v>
      </c>
      <c r="G212" s="187"/>
      <c r="H212" s="183">
        <f>SUM(Y159,Y165)</f>
        <v>0</v>
      </c>
      <c r="I212" s="184"/>
      <c r="J212" s="294"/>
      <c r="L212" s="209"/>
    </row>
    <row r="213" spans="1:12" s="137" customFormat="1" x14ac:dyDescent="0.35">
      <c r="A213" s="292"/>
      <c r="B213" s="293"/>
      <c r="C213" s="293"/>
      <c r="D213" s="157"/>
      <c r="E213" s="285" t="s">
        <v>222</v>
      </c>
      <c r="F213" s="286"/>
      <c r="G213" s="287"/>
      <c r="H213" s="158"/>
      <c r="I213" s="159"/>
      <c r="J213" s="154"/>
      <c r="L213" s="209"/>
    </row>
    <row r="214" spans="1:12" s="137" customFormat="1" ht="28.5" customHeight="1" x14ac:dyDescent="0.35">
      <c r="A214" s="292"/>
      <c r="B214" s="293"/>
      <c r="C214" s="293"/>
      <c r="D214" s="153"/>
      <c r="E214" s="142">
        <v>1936155</v>
      </c>
      <c r="F214" s="133" t="s">
        <v>189</v>
      </c>
      <c r="G214" s="144" t="s">
        <v>190</v>
      </c>
      <c r="H214" s="146">
        <f>E190</f>
        <v>-5800011.1363636358</v>
      </c>
      <c r="I214" s="145"/>
      <c r="J214" s="82" t="s">
        <v>217</v>
      </c>
      <c r="L214" s="209"/>
    </row>
    <row r="215" spans="1:12" s="137" customFormat="1" x14ac:dyDescent="0.35">
      <c r="A215" s="292"/>
      <c r="B215" s="293"/>
      <c r="C215" s="293"/>
      <c r="D215" s="160"/>
      <c r="E215" s="285" t="s">
        <v>223</v>
      </c>
      <c r="F215" s="286"/>
      <c r="G215" s="287"/>
      <c r="H215" s="161"/>
      <c r="I215" s="162"/>
      <c r="L215" s="209"/>
    </row>
    <row r="216" spans="1:12" s="137" customFormat="1" ht="28.5" customHeight="1" x14ac:dyDescent="0.35">
      <c r="A216" s="292"/>
      <c r="B216" s="293"/>
      <c r="C216" s="293"/>
      <c r="D216" s="153"/>
      <c r="E216" s="135">
        <v>75607</v>
      </c>
      <c r="F216" s="134" t="s">
        <v>196</v>
      </c>
      <c r="G216" s="133"/>
      <c r="H216" s="145"/>
      <c r="I216" s="146">
        <f>SUM(Q154,Q159,Q165)</f>
        <v>657912</v>
      </c>
      <c r="J216" s="249" t="s">
        <v>218</v>
      </c>
      <c r="L216" s="209"/>
    </row>
    <row r="217" spans="1:12" s="137" customFormat="1" ht="28.5" customHeight="1" x14ac:dyDescent="0.35">
      <c r="A217" s="292"/>
      <c r="B217" s="293"/>
      <c r="C217" s="293"/>
      <c r="D217" s="153"/>
      <c r="E217" s="135">
        <v>75610</v>
      </c>
      <c r="F217" s="134" t="s">
        <v>199</v>
      </c>
      <c r="G217" s="133"/>
      <c r="H217" s="145"/>
      <c r="I217" s="146">
        <f>SUM(R154,R159,R165)</f>
        <v>493434</v>
      </c>
      <c r="J217" s="249"/>
      <c r="L217" s="209"/>
    </row>
    <row r="218" spans="1:12" s="137" customFormat="1" ht="28.5" customHeight="1" x14ac:dyDescent="0.35">
      <c r="A218" s="292"/>
      <c r="B218" s="293"/>
      <c r="C218" s="293"/>
      <c r="D218" s="153"/>
      <c r="E218" s="135">
        <v>75608</v>
      </c>
      <c r="F218" s="134" t="s">
        <v>197</v>
      </c>
      <c r="G218" s="133"/>
      <c r="H218" s="145"/>
      <c r="I218" s="146">
        <f>SUM(S154,S159,S165)</f>
        <v>822390</v>
      </c>
      <c r="J218" s="249"/>
      <c r="L218" s="209"/>
    </row>
    <row r="219" spans="1:12" s="137" customFormat="1" ht="28.5" customHeight="1" x14ac:dyDescent="0.35">
      <c r="A219" s="292"/>
      <c r="B219" s="293"/>
      <c r="C219" s="293"/>
      <c r="D219" s="153"/>
      <c r="E219" s="135">
        <v>75609</v>
      </c>
      <c r="F219" s="134" t="s">
        <v>198</v>
      </c>
      <c r="G219" s="133"/>
      <c r="H219" s="145"/>
      <c r="I219" s="146">
        <f>SUM(T154,T159,T165)</f>
        <v>246717</v>
      </c>
      <c r="J219" s="249"/>
      <c r="L219" s="209"/>
    </row>
    <row r="220" spans="1:12" s="137" customFormat="1" ht="24" customHeight="1" x14ac:dyDescent="0.35">
      <c r="A220" s="292"/>
      <c r="B220" s="293"/>
      <c r="C220" s="293"/>
      <c r="D220" s="153"/>
      <c r="E220" s="135">
        <v>75611</v>
      </c>
      <c r="F220" s="134" t="s">
        <v>200</v>
      </c>
      <c r="G220" s="133"/>
      <c r="H220" s="145"/>
      <c r="I220" s="146">
        <f>SUM(U154,U159,U165)</f>
        <v>328956</v>
      </c>
      <c r="J220" s="249"/>
      <c r="L220" s="209"/>
    </row>
    <row r="221" spans="1:12" s="137" customFormat="1" x14ac:dyDescent="0.35">
      <c r="A221" s="292"/>
      <c r="B221" s="293"/>
      <c r="C221" s="293"/>
      <c r="D221" s="153"/>
      <c r="E221" s="135">
        <v>75612</v>
      </c>
      <c r="F221" s="134" t="s">
        <v>313</v>
      </c>
      <c r="G221" s="133"/>
      <c r="H221" s="145"/>
      <c r="I221" s="146">
        <f>SUM(V154,V159,V165)</f>
        <v>388332.55800000002</v>
      </c>
      <c r="J221" s="249"/>
      <c r="L221" s="209"/>
    </row>
    <row r="222" spans="1:12" s="137" customFormat="1" ht="24" customHeight="1" x14ac:dyDescent="0.35">
      <c r="A222" s="292"/>
      <c r="B222" s="293"/>
      <c r="C222" s="293"/>
      <c r="D222" s="153"/>
      <c r="E222" s="147"/>
      <c r="F222" s="147"/>
      <c r="G222" s="150"/>
      <c r="H222" s="148">
        <f>SUM(H197:H221)</f>
        <v>19679377.921636365</v>
      </c>
      <c r="I222" s="148">
        <f>SUM(I197:I221)</f>
        <v>19679377.921636365</v>
      </c>
      <c r="J222" s="151">
        <f>H222-I222</f>
        <v>0</v>
      </c>
      <c r="L222" s="209"/>
    </row>
    <row r="223" spans="1:12" s="137" customFormat="1" ht="24" customHeight="1" x14ac:dyDescent="0.35">
      <c r="A223" s="292"/>
      <c r="B223" s="293"/>
      <c r="C223" s="293"/>
      <c r="D223" s="153"/>
      <c r="E223" s="142" t="s">
        <v>201</v>
      </c>
      <c r="F223" s="133" t="s">
        <v>202</v>
      </c>
      <c r="G223" s="133"/>
      <c r="H223" s="146">
        <f>SUM(W152:W153,W159,W165)</f>
        <v>22354369.458000001</v>
      </c>
      <c r="I223" s="145"/>
      <c r="L223" s="209"/>
    </row>
    <row r="224" spans="1:12" s="137" customFormat="1" ht="24" customHeight="1" x14ac:dyDescent="0.35">
      <c r="A224" s="292"/>
      <c r="B224" s="293"/>
      <c r="C224" s="293"/>
      <c r="D224" s="153"/>
      <c r="E224" s="135">
        <v>1169873</v>
      </c>
      <c r="F224" s="134" t="s">
        <v>203</v>
      </c>
      <c r="G224" s="133"/>
      <c r="H224" s="145"/>
      <c r="I224" s="149">
        <f>SUM(H197:H203)</f>
        <v>22354369.458000001</v>
      </c>
      <c r="L224" s="209"/>
    </row>
    <row r="225" spans="1:12" s="137" customFormat="1" ht="24" customHeight="1" x14ac:dyDescent="0.35">
      <c r="A225" s="292"/>
      <c r="B225" s="293"/>
      <c r="C225" s="293"/>
      <c r="D225" s="153"/>
      <c r="E225" s="147"/>
      <c r="F225" s="147"/>
      <c r="G225" s="150"/>
      <c r="H225" s="148">
        <f>SUM(H223:H224)</f>
        <v>22354369.458000001</v>
      </c>
      <c r="I225" s="148">
        <f>SUM(I223:I224)</f>
        <v>22354369.458000001</v>
      </c>
      <c r="L225" s="209"/>
    </row>
    <row r="228" spans="1:12" x14ac:dyDescent="0.35">
      <c r="A228" s="69" t="s">
        <v>349</v>
      </c>
    </row>
    <row r="229" spans="1:12" x14ac:dyDescent="0.35">
      <c r="A229" s="288" t="s">
        <v>33</v>
      </c>
      <c r="B229" s="288" t="s">
        <v>177</v>
      </c>
      <c r="C229" s="288" t="s">
        <v>178</v>
      </c>
      <c r="D229" s="288" t="s">
        <v>179</v>
      </c>
      <c r="E229" s="289" t="s">
        <v>101</v>
      </c>
      <c r="F229" s="290"/>
      <c r="G229" s="290"/>
      <c r="H229" s="290"/>
      <c r="I229" s="290"/>
    </row>
    <row r="230" spans="1:12" x14ac:dyDescent="0.35">
      <c r="A230" s="288"/>
      <c r="B230" s="288"/>
      <c r="C230" s="288"/>
      <c r="D230" s="288"/>
      <c r="E230" s="138" t="s">
        <v>180</v>
      </c>
      <c r="F230" s="138" t="s">
        <v>181</v>
      </c>
      <c r="G230" s="136" t="s">
        <v>182</v>
      </c>
      <c r="H230" s="136" t="s">
        <v>102</v>
      </c>
      <c r="I230" s="136" t="s">
        <v>103</v>
      </c>
    </row>
    <row r="231" spans="1:12" x14ac:dyDescent="0.35">
      <c r="A231" s="136"/>
      <c r="B231" s="153"/>
      <c r="C231" s="153"/>
      <c r="D231" s="153"/>
      <c r="E231" s="285" t="s">
        <v>220</v>
      </c>
      <c r="F231" s="286"/>
      <c r="G231" s="287"/>
      <c r="H231" s="137"/>
      <c r="I231" s="137"/>
      <c r="J231" s="197"/>
    </row>
    <row r="232" spans="1:12" ht="14.5" customHeight="1" x14ac:dyDescent="0.35">
      <c r="A232" s="273">
        <v>1</v>
      </c>
      <c r="B232" s="276"/>
      <c r="C232" s="276"/>
      <c r="D232" s="267" t="s">
        <v>336</v>
      </c>
      <c r="E232" s="142">
        <v>75607</v>
      </c>
      <c r="F232" s="133" t="s">
        <v>196</v>
      </c>
      <c r="G232" s="133"/>
      <c r="H232" s="146">
        <f>+I216</f>
        <v>657912</v>
      </c>
      <c r="I232" s="145"/>
      <c r="J232" s="197"/>
    </row>
    <row r="233" spans="1:12" x14ac:dyDescent="0.35">
      <c r="A233" s="274"/>
      <c r="B233" s="277"/>
      <c r="C233" s="277"/>
      <c r="D233" s="268"/>
      <c r="E233" s="214">
        <v>1208224</v>
      </c>
      <c r="F233" s="227" t="s">
        <v>324</v>
      </c>
      <c r="G233" s="133"/>
      <c r="H233" s="146"/>
      <c r="I233" s="215">
        <v>595000</v>
      </c>
      <c r="J233" s="260" t="s">
        <v>338</v>
      </c>
      <c r="K233" s="261"/>
    </row>
    <row r="234" spans="1:12" ht="29" x14ac:dyDescent="0.35">
      <c r="A234" s="275"/>
      <c r="B234" s="278"/>
      <c r="C234" s="278"/>
      <c r="D234" s="269"/>
      <c r="E234" s="135">
        <v>1170969</v>
      </c>
      <c r="F234" s="134" t="s">
        <v>330</v>
      </c>
      <c r="G234" s="133"/>
      <c r="H234" s="230" t="s">
        <v>341</v>
      </c>
      <c r="I234" s="224">
        <f>+H232-I233</f>
        <v>62912</v>
      </c>
      <c r="J234" s="262" t="s">
        <v>347</v>
      </c>
      <c r="K234" s="263"/>
    </row>
    <row r="235" spans="1:12" x14ac:dyDescent="0.35">
      <c r="A235" s="217"/>
      <c r="B235" s="216"/>
      <c r="C235" s="216"/>
      <c r="D235" s="218"/>
      <c r="E235" s="219"/>
      <c r="F235" s="219"/>
      <c r="G235" s="219"/>
      <c r="H235" s="219"/>
      <c r="I235" s="220"/>
      <c r="J235" s="197"/>
    </row>
    <row r="236" spans="1:12" ht="19" customHeight="1" x14ac:dyDescent="0.35">
      <c r="A236" s="273">
        <v>4</v>
      </c>
      <c r="B236" s="276"/>
      <c r="C236" s="276"/>
      <c r="D236" s="267" t="s">
        <v>336</v>
      </c>
      <c r="E236" s="142">
        <v>75610</v>
      </c>
      <c r="F236" s="228" t="s">
        <v>199</v>
      </c>
      <c r="G236" s="133"/>
      <c r="H236" s="146">
        <f>+I217</f>
        <v>493434</v>
      </c>
      <c r="I236" s="145"/>
      <c r="J236" s="197"/>
    </row>
    <row r="237" spans="1:12" x14ac:dyDescent="0.35">
      <c r="A237" s="274"/>
      <c r="B237" s="277"/>
      <c r="C237" s="277"/>
      <c r="D237" s="268"/>
      <c r="E237" s="226">
        <v>1210051</v>
      </c>
      <c r="F237" s="225" t="s">
        <v>329</v>
      </c>
      <c r="G237" s="133"/>
      <c r="H237" s="146"/>
      <c r="I237" s="215">
        <v>546000</v>
      </c>
      <c r="J237" s="197" t="s">
        <v>339</v>
      </c>
    </row>
    <row r="238" spans="1:12" ht="33.5" customHeight="1" x14ac:dyDescent="0.35">
      <c r="A238" s="275"/>
      <c r="B238" s="278"/>
      <c r="C238" s="278"/>
      <c r="D238" s="269"/>
      <c r="E238" s="233">
        <v>1170972</v>
      </c>
      <c r="F238" s="234" t="s">
        <v>333</v>
      </c>
      <c r="G238" s="133"/>
      <c r="H238" s="146">
        <f>+I237-H236</f>
        <v>52566</v>
      </c>
      <c r="I238" s="224"/>
      <c r="J238" s="262" t="s">
        <v>348</v>
      </c>
      <c r="K238" s="263"/>
    </row>
    <row r="239" spans="1:12" x14ac:dyDescent="0.35">
      <c r="A239" s="282"/>
      <c r="B239" s="283"/>
      <c r="C239" s="283"/>
      <c r="D239" s="283"/>
      <c r="E239" s="283"/>
      <c r="F239" s="283"/>
      <c r="G239" s="283"/>
      <c r="H239" s="283"/>
      <c r="I239" s="284"/>
    </row>
    <row r="240" spans="1:12" ht="29" x14ac:dyDescent="0.35">
      <c r="A240" s="273">
        <v>2</v>
      </c>
      <c r="B240" s="276"/>
      <c r="C240" s="276"/>
      <c r="D240" s="267" t="s">
        <v>336</v>
      </c>
      <c r="E240" s="142">
        <v>75608</v>
      </c>
      <c r="F240" s="221" t="s">
        <v>197</v>
      </c>
      <c r="G240" s="133"/>
      <c r="H240" s="146">
        <f>+I218</f>
        <v>822390</v>
      </c>
      <c r="I240" s="145"/>
      <c r="J240" s="212"/>
      <c r="L240" s="210"/>
    </row>
    <row r="241" spans="1:12" ht="29" x14ac:dyDescent="0.35">
      <c r="A241" s="274"/>
      <c r="B241" s="277"/>
      <c r="C241" s="277"/>
      <c r="D241" s="268"/>
      <c r="E241" s="226">
        <v>1208590</v>
      </c>
      <c r="F241" s="232" t="s">
        <v>325</v>
      </c>
      <c r="G241" s="133"/>
      <c r="H241" s="146"/>
      <c r="I241" s="215">
        <v>874000</v>
      </c>
      <c r="J241" s="229" t="s">
        <v>340</v>
      </c>
      <c r="L241" s="210"/>
    </row>
    <row r="242" spans="1:12" ht="29" x14ac:dyDescent="0.35">
      <c r="A242" s="275"/>
      <c r="B242" s="278"/>
      <c r="C242" s="278"/>
      <c r="D242" s="269"/>
      <c r="E242" s="142">
        <v>1170970</v>
      </c>
      <c r="F242" s="221" t="s">
        <v>331</v>
      </c>
      <c r="G242" s="133"/>
      <c r="H242" s="146">
        <f>+I241-H240</f>
        <v>51610</v>
      </c>
      <c r="I242" s="145"/>
      <c r="J242" s="262" t="s">
        <v>342</v>
      </c>
      <c r="K242" s="263"/>
    </row>
    <row r="243" spans="1:12" x14ac:dyDescent="0.35">
      <c r="A243" s="279">
        <f>SUM(Y194,Y200)</f>
        <v>0</v>
      </c>
      <c r="B243" s="280"/>
      <c r="C243" s="280"/>
      <c r="D243" s="280"/>
      <c r="E243" s="280"/>
      <c r="F243" s="280"/>
      <c r="G243" s="280"/>
      <c r="H243" s="280"/>
      <c r="I243" s="281"/>
      <c r="J243" s="212"/>
      <c r="L243" s="210"/>
    </row>
    <row r="244" spans="1:12" x14ac:dyDescent="0.35">
      <c r="A244" s="273">
        <v>3</v>
      </c>
      <c r="B244" s="276"/>
      <c r="C244" s="276"/>
      <c r="D244" s="267" t="s">
        <v>336</v>
      </c>
      <c r="E244" s="142">
        <v>75609</v>
      </c>
      <c r="F244" s="221" t="s">
        <v>198</v>
      </c>
      <c r="G244" s="133"/>
      <c r="H244" s="146">
        <f>+I219</f>
        <v>246717</v>
      </c>
      <c r="I244" s="145"/>
      <c r="J244" s="210"/>
      <c r="L244" s="210"/>
    </row>
    <row r="245" spans="1:12" x14ac:dyDescent="0.35">
      <c r="A245" s="274"/>
      <c r="B245" s="277"/>
      <c r="C245" s="277"/>
      <c r="D245" s="268"/>
      <c r="E245" s="222">
        <v>1208955</v>
      </c>
      <c r="F245" s="81" t="s">
        <v>326</v>
      </c>
      <c r="G245" s="133"/>
      <c r="H245" s="146"/>
      <c r="I245" s="215">
        <v>210500</v>
      </c>
      <c r="J245" s="213" t="s">
        <v>343</v>
      </c>
      <c r="K245" s="38"/>
      <c r="L245" s="211"/>
    </row>
    <row r="246" spans="1:12" ht="29" x14ac:dyDescent="0.35">
      <c r="A246" s="275"/>
      <c r="B246" s="278"/>
      <c r="C246" s="278"/>
      <c r="D246" s="269"/>
      <c r="E246" s="135">
        <v>1170971</v>
      </c>
      <c r="F246" s="235" t="s">
        <v>332</v>
      </c>
      <c r="G246" s="133"/>
      <c r="H246" s="146">
        <v>0</v>
      </c>
      <c r="I246" s="224">
        <f>+H244-I245</f>
        <v>36217</v>
      </c>
      <c r="J246" s="262" t="s">
        <v>346</v>
      </c>
      <c r="K246" s="263"/>
      <c r="L246" s="211"/>
    </row>
    <row r="247" spans="1:12" x14ac:dyDescent="0.3">
      <c r="A247" s="264"/>
      <c r="B247" s="265"/>
      <c r="C247" s="265"/>
      <c r="D247" s="265"/>
      <c r="E247" s="265"/>
      <c r="F247" s="265"/>
      <c r="G247" s="265"/>
      <c r="H247" s="265"/>
      <c r="I247" s="266"/>
      <c r="J247" s="213"/>
      <c r="K247" s="38"/>
      <c r="L247" s="211"/>
    </row>
    <row r="248" spans="1:12" x14ac:dyDescent="0.35">
      <c r="A248" s="273">
        <v>5</v>
      </c>
      <c r="B248" s="276"/>
      <c r="C248" s="276"/>
      <c r="D248" s="267" t="s">
        <v>336</v>
      </c>
      <c r="E248" s="142">
        <v>75611</v>
      </c>
      <c r="F248" s="133" t="s">
        <v>200</v>
      </c>
      <c r="G248" s="133"/>
      <c r="H248" s="146">
        <f>+I220</f>
        <v>328956</v>
      </c>
      <c r="I248" s="145"/>
      <c r="J248" s="213"/>
      <c r="K248" s="38"/>
      <c r="L248" s="211"/>
    </row>
    <row r="249" spans="1:12" x14ac:dyDescent="0.35">
      <c r="A249" s="274"/>
      <c r="B249" s="277"/>
      <c r="C249" s="277"/>
      <c r="D249" s="268"/>
      <c r="E249" s="226">
        <v>1209320</v>
      </c>
      <c r="F249" s="225" t="s">
        <v>327</v>
      </c>
      <c r="G249" s="133"/>
      <c r="H249" s="146"/>
      <c r="I249" s="215">
        <v>425000</v>
      </c>
      <c r="J249" s="213" t="s">
        <v>344</v>
      </c>
      <c r="K249" s="38"/>
      <c r="L249" s="211"/>
    </row>
    <row r="250" spans="1:12" ht="29" x14ac:dyDescent="0.35">
      <c r="A250" s="275"/>
      <c r="B250" s="278"/>
      <c r="C250" s="278"/>
      <c r="D250" s="269"/>
      <c r="E250" s="142">
        <v>1170973</v>
      </c>
      <c r="F250" s="133" t="s">
        <v>334</v>
      </c>
      <c r="G250" s="133"/>
      <c r="H250" s="146">
        <f>+I249-H248</f>
        <v>96044</v>
      </c>
      <c r="I250" s="145"/>
      <c r="J250" s="262" t="s">
        <v>345</v>
      </c>
      <c r="K250" s="263"/>
      <c r="L250" s="211"/>
    </row>
    <row r="251" spans="1:12" x14ac:dyDescent="0.3">
      <c r="A251" s="264"/>
      <c r="B251" s="265"/>
      <c r="C251" s="265"/>
      <c r="D251" s="265"/>
      <c r="E251" s="265"/>
      <c r="F251" s="265"/>
      <c r="G251" s="265"/>
      <c r="H251" s="265"/>
      <c r="I251" s="266"/>
      <c r="J251" s="213"/>
      <c r="K251" s="38"/>
      <c r="L251" s="211"/>
    </row>
    <row r="252" spans="1:12" x14ac:dyDescent="0.35">
      <c r="A252" s="273">
        <v>6</v>
      </c>
      <c r="B252" s="276"/>
      <c r="C252" s="276"/>
      <c r="D252" s="267" t="s">
        <v>336</v>
      </c>
      <c r="E252" s="142">
        <v>75612</v>
      </c>
      <c r="F252" s="133" t="s">
        <v>313</v>
      </c>
      <c r="G252" s="133"/>
      <c r="H252" s="146">
        <f>+I221</f>
        <v>388332.55800000002</v>
      </c>
      <c r="I252" s="145"/>
      <c r="J252" s="258" t="s">
        <v>337</v>
      </c>
      <c r="K252" s="259"/>
      <c r="L252" s="210"/>
    </row>
    <row r="253" spans="1:12" x14ac:dyDescent="0.35">
      <c r="A253" s="274"/>
      <c r="B253" s="277"/>
      <c r="C253" s="277"/>
      <c r="D253" s="268"/>
      <c r="E253" s="231">
        <v>1209685</v>
      </c>
      <c r="F253" s="232" t="s">
        <v>328</v>
      </c>
      <c r="G253" s="133"/>
      <c r="H253" s="146"/>
      <c r="I253" s="146">
        <f>+H252</f>
        <v>388332.55800000002</v>
      </c>
      <c r="J253" s="258"/>
      <c r="K253" s="259"/>
      <c r="L253" s="210"/>
    </row>
    <row r="254" spans="1:12" ht="29" x14ac:dyDescent="0.35">
      <c r="A254" s="275"/>
      <c r="B254" s="278"/>
      <c r="C254" s="278"/>
      <c r="D254" s="269"/>
      <c r="E254" s="142">
        <v>1170974</v>
      </c>
      <c r="F254" s="133" t="s">
        <v>335</v>
      </c>
      <c r="G254" s="133"/>
      <c r="H254" s="146">
        <f>+H252-I253</f>
        <v>0</v>
      </c>
      <c r="I254" s="145"/>
      <c r="J254" s="258"/>
      <c r="K254" s="259"/>
      <c r="L254" s="210"/>
    </row>
    <row r="255" spans="1:12" x14ac:dyDescent="0.35">
      <c r="A255" s="217"/>
      <c r="B255" s="216"/>
      <c r="C255" s="216"/>
      <c r="D255" s="270"/>
      <c r="E255" s="271"/>
      <c r="F255" s="271"/>
      <c r="G255" s="271"/>
      <c r="H255" s="271"/>
      <c r="I255" s="272"/>
      <c r="L255" s="210"/>
    </row>
    <row r="258" spans="8:8" x14ac:dyDescent="0.35">
      <c r="H258" s="223"/>
    </row>
  </sheetData>
  <mergeCells count="91">
    <mergeCell ref="C123:E123"/>
    <mergeCell ref="A3:L3"/>
    <mergeCell ref="B11:C11"/>
    <mergeCell ref="D13:E13"/>
    <mergeCell ref="F13:G13"/>
    <mergeCell ref="H13:K13"/>
    <mergeCell ref="G17:H17"/>
    <mergeCell ref="I17:J17"/>
    <mergeCell ref="E23:F23"/>
    <mergeCell ref="G23:H23"/>
    <mergeCell ref="A39:L39"/>
    <mergeCell ref="D48:F48"/>
    <mergeCell ref="H48:I48"/>
    <mergeCell ref="B19:B20"/>
    <mergeCell ref="G163:N163"/>
    <mergeCell ref="P163:W163"/>
    <mergeCell ref="D132:G132"/>
    <mergeCell ref="D133:G133"/>
    <mergeCell ref="H136:J136"/>
    <mergeCell ref="H138:H141"/>
    <mergeCell ref="I138:I141"/>
    <mergeCell ref="J138:J141"/>
    <mergeCell ref="A148:L148"/>
    <mergeCell ref="G150:N150"/>
    <mergeCell ref="P150:W150"/>
    <mergeCell ref="G157:N157"/>
    <mergeCell ref="P157:W157"/>
    <mergeCell ref="A192:J192"/>
    <mergeCell ref="A194:A195"/>
    <mergeCell ref="B194:B195"/>
    <mergeCell ref="C194:C195"/>
    <mergeCell ref="D194:D195"/>
    <mergeCell ref="E194:I194"/>
    <mergeCell ref="E196:G196"/>
    <mergeCell ref="A197:A225"/>
    <mergeCell ref="B197:B225"/>
    <mergeCell ref="C197:C225"/>
    <mergeCell ref="J197:J204"/>
    <mergeCell ref="E205:G205"/>
    <mergeCell ref="J206:J209"/>
    <mergeCell ref="E210:G210"/>
    <mergeCell ref="J211:J212"/>
    <mergeCell ref="E213:G213"/>
    <mergeCell ref="E215:G215"/>
    <mergeCell ref="J216:J221"/>
    <mergeCell ref="A229:A230"/>
    <mergeCell ref="B229:B230"/>
    <mergeCell ref="C229:C230"/>
    <mergeCell ref="D229:D230"/>
    <mergeCell ref="E229:I229"/>
    <mergeCell ref="D240:D242"/>
    <mergeCell ref="J238:K238"/>
    <mergeCell ref="A239:I239"/>
    <mergeCell ref="E231:G231"/>
    <mergeCell ref="A232:A234"/>
    <mergeCell ref="B232:B234"/>
    <mergeCell ref="C232:C234"/>
    <mergeCell ref="D232:D234"/>
    <mergeCell ref="J233:K233"/>
    <mergeCell ref="J234:K234"/>
    <mergeCell ref="A244:A246"/>
    <mergeCell ref="B244:B246"/>
    <mergeCell ref="C244:C246"/>
    <mergeCell ref="D244:D246"/>
    <mergeCell ref="J246:K246"/>
    <mergeCell ref="D255:I255"/>
    <mergeCell ref="A248:A250"/>
    <mergeCell ref="B248:B250"/>
    <mergeCell ref="C248:C250"/>
    <mergeCell ref="D248:D250"/>
    <mergeCell ref="A252:A254"/>
    <mergeCell ref="B252:B254"/>
    <mergeCell ref="C252:C254"/>
    <mergeCell ref="D252:D254"/>
    <mergeCell ref="A251:I251"/>
    <mergeCell ref="J252:K254"/>
    <mergeCell ref="G19:G20"/>
    <mergeCell ref="H19:H20"/>
    <mergeCell ref="I19:I20"/>
    <mergeCell ref="J19:J20"/>
    <mergeCell ref="J242:K242"/>
    <mergeCell ref="J250:K250"/>
    <mergeCell ref="A247:I247"/>
    <mergeCell ref="A243:I243"/>
    <mergeCell ref="A236:A238"/>
    <mergeCell ref="B236:B238"/>
    <mergeCell ref="C236:C238"/>
    <mergeCell ref="D236:D238"/>
    <mergeCell ref="A240:A242"/>
    <mergeCell ref="B240:B242"/>
    <mergeCell ref="C240:C242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5118-2A1B-4346-BB15-75BDC3B85BBA}">
  <sheetPr>
    <tabColor rgb="FFFFFF00"/>
  </sheetPr>
  <dimension ref="A1:AG212"/>
  <sheetViews>
    <sheetView topLeftCell="A146" zoomScale="85" zoomScaleNormal="85" workbookViewId="0">
      <selection activeCell="G158" sqref="G158"/>
    </sheetView>
  </sheetViews>
  <sheetFormatPr defaultRowHeight="14.5" x14ac:dyDescent="0.35"/>
  <cols>
    <col min="1" max="1" width="11.26953125" style="1" customWidth="1"/>
    <col min="2" max="2" width="18.54296875" style="1" customWidth="1"/>
    <col min="3" max="3" width="25.81640625" style="1" customWidth="1"/>
    <col min="4" max="4" width="17.90625" style="1" bestFit="1" customWidth="1"/>
    <col min="5" max="5" width="15" style="1" customWidth="1"/>
    <col min="6" max="6" width="28.36328125" style="1" customWidth="1"/>
    <col min="7" max="7" width="36.08984375" style="1" customWidth="1"/>
    <col min="8" max="8" width="16.453125" style="1" customWidth="1"/>
    <col min="9" max="9" width="16.1796875" style="1" bestFit="1" customWidth="1"/>
    <col min="10" max="10" width="13.08984375" style="1" customWidth="1"/>
    <col min="11" max="11" width="15.1796875" style="1" customWidth="1"/>
    <col min="12" max="12" width="16.08984375" style="1" customWidth="1"/>
    <col min="13" max="13" width="17.1796875" style="1" customWidth="1"/>
    <col min="14" max="14" width="15.36328125" style="1" customWidth="1"/>
    <col min="15" max="15" width="16.36328125" style="1" customWidth="1"/>
    <col min="16" max="16" width="14.6328125" style="1" bestFit="1" customWidth="1"/>
    <col min="17" max="17" width="11.81640625" style="1" bestFit="1" customWidth="1"/>
    <col min="18" max="18" width="14.90625" style="1" customWidth="1"/>
    <col min="19" max="19" width="15.453125" style="1" customWidth="1"/>
    <col min="20" max="20" width="12" style="1" customWidth="1"/>
    <col min="21" max="21" width="12.7265625" style="1" customWidth="1"/>
    <col min="22" max="22" width="13" style="1" customWidth="1"/>
    <col min="23" max="23" width="14.36328125" style="1" customWidth="1"/>
    <col min="24" max="24" width="13.81640625" style="1" bestFit="1" customWidth="1"/>
    <col min="25" max="25" width="10.81640625" style="1" bestFit="1" customWidth="1"/>
    <col min="26" max="27" width="11.08984375" style="1" customWidth="1"/>
    <col min="28" max="16384" width="8.7265625" style="1"/>
  </cols>
  <sheetData>
    <row r="1" spans="1:12" x14ac:dyDescent="0.35">
      <c r="A1" s="69" t="s">
        <v>267</v>
      </c>
    </row>
    <row r="3" spans="1:12" x14ac:dyDescent="0.35">
      <c r="A3" s="248" t="s">
        <v>254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5" spans="1:12" x14ac:dyDescent="0.35">
      <c r="A5" s="69" t="s">
        <v>255</v>
      </c>
      <c r="B5" s="78"/>
      <c r="C5" s="77"/>
      <c r="D5" s="77"/>
      <c r="E5" s="77"/>
    </row>
    <row r="6" spans="1:12" x14ac:dyDescent="0.35">
      <c r="B6" s="78"/>
      <c r="C6" s="77"/>
      <c r="D6" s="77"/>
      <c r="E6" s="249" t="s">
        <v>140</v>
      </c>
      <c r="F6" s="249"/>
      <c r="G6" s="250" t="s">
        <v>145</v>
      </c>
      <c r="H6" s="250"/>
    </row>
    <row r="7" spans="1:12" ht="26" x14ac:dyDescent="0.35">
      <c r="B7" s="10" t="s">
        <v>65</v>
      </c>
      <c r="C7" s="10" t="s">
        <v>104</v>
      </c>
      <c r="D7" s="10" t="s">
        <v>117</v>
      </c>
      <c r="E7" s="10" t="s">
        <v>118</v>
      </c>
      <c r="F7" s="10" t="s">
        <v>122</v>
      </c>
      <c r="G7" s="103" t="s">
        <v>118</v>
      </c>
      <c r="H7" s="103" t="s">
        <v>122</v>
      </c>
    </row>
    <row r="8" spans="1:12" x14ac:dyDescent="0.35">
      <c r="B8" s="75">
        <v>1</v>
      </c>
      <c r="C8" s="71" t="s">
        <v>136</v>
      </c>
      <c r="D8" s="83" t="str">
        <f>C8&amp;"-"&amp;"BC"&amp;"."&amp;5</f>
        <v>DEBDA0319-T1-BC.5</v>
      </c>
      <c r="E8" s="84">
        <v>487.5</v>
      </c>
      <c r="F8" s="84">
        <v>488.75</v>
      </c>
      <c r="G8" s="104">
        <v>487.5</v>
      </c>
      <c r="H8" s="104">
        <v>488.75</v>
      </c>
    </row>
    <row r="9" spans="1:12" x14ac:dyDescent="0.35">
      <c r="B9" s="75">
        <v>1</v>
      </c>
      <c r="C9" s="71" t="s">
        <v>136</v>
      </c>
      <c r="D9" s="83" t="str">
        <f>C9&amp;"-"&amp;"BC"&amp;"."&amp;6</f>
        <v>DEBDA0319-T1-BC.6</v>
      </c>
      <c r="E9" s="84">
        <v>487.5</v>
      </c>
      <c r="F9" s="84">
        <v>488.75</v>
      </c>
      <c r="G9" s="104">
        <v>487.5</v>
      </c>
      <c r="H9" s="104">
        <v>488.75</v>
      </c>
    </row>
    <row r="10" spans="1:12" x14ac:dyDescent="0.35">
      <c r="B10" s="75">
        <v>1</v>
      </c>
      <c r="C10" s="71" t="s">
        <v>136</v>
      </c>
      <c r="D10" s="83" t="str">
        <f>C10&amp;"-"&amp;"BC"&amp;"."&amp;7</f>
        <v>DEBDA0319-T1-BC.7</v>
      </c>
      <c r="E10" s="84">
        <v>487.5</v>
      </c>
      <c r="F10" s="84">
        <v>488.75</v>
      </c>
      <c r="G10" s="104">
        <v>487.5</v>
      </c>
      <c r="H10" s="104">
        <v>488.75</v>
      </c>
    </row>
    <row r="11" spans="1:12" x14ac:dyDescent="0.35">
      <c r="B11" s="75">
        <v>1</v>
      </c>
      <c r="C11" s="71" t="s">
        <v>136</v>
      </c>
      <c r="D11" s="83" t="str">
        <f>C11&amp;"-"&amp;"BC"&amp;"."&amp;8</f>
        <v>DEBDA0319-T1-BC.8</v>
      </c>
      <c r="E11" s="84">
        <v>487.5</v>
      </c>
      <c r="F11" s="84">
        <v>488.75</v>
      </c>
      <c r="G11" s="104">
        <v>487.5</v>
      </c>
      <c r="H11" s="104">
        <v>488.75</v>
      </c>
    </row>
    <row r="13" spans="1:12" x14ac:dyDescent="0.35">
      <c r="A13" s="69" t="s">
        <v>256</v>
      </c>
    </row>
    <row r="14" spans="1:12" x14ac:dyDescent="0.35">
      <c r="B14" s="78"/>
      <c r="C14" s="77"/>
      <c r="D14" s="77"/>
      <c r="E14" s="249" t="s">
        <v>140</v>
      </c>
      <c r="F14" s="249"/>
      <c r="G14" s="250" t="s">
        <v>145</v>
      </c>
      <c r="H14" s="250"/>
    </row>
    <row r="15" spans="1:12" ht="26" x14ac:dyDescent="0.35">
      <c r="B15" s="10" t="s">
        <v>65</v>
      </c>
      <c r="C15" s="10" t="s">
        <v>104</v>
      </c>
      <c r="D15" s="10" t="s">
        <v>117</v>
      </c>
      <c r="E15" s="10" t="s">
        <v>118</v>
      </c>
      <c r="F15" s="10" t="s">
        <v>122</v>
      </c>
      <c r="G15" s="103" t="s">
        <v>118</v>
      </c>
      <c r="H15" s="103" t="s">
        <v>122</v>
      </c>
    </row>
    <row r="16" spans="1:12" x14ac:dyDescent="0.35">
      <c r="B16" s="75">
        <v>1</v>
      </c>
      <c r="C16" s="71" t="s">
        <v>258</v>
      </c>
      <c r="D16" s="83" t="str">
        <f>C16&amp;"-"&amp;"BC"&amp;"."&amp;4</f>
        <v>DEBDA0319-T1-BDP-BC.4</v>
      </c>
      <c r="E16" s="168">
        <f>'Sim unpack,Prod (ada sisa WIP)'!C107</f>
        <v>264.72000000000003</v>
      </c>
      <c r="F16" s="167"/>
      <c r="G16" s="104">
        <v>264.72000000000003</v>
      </c>
      <c r="H16" s="104"/>
    </row>
    <row r="22" spans="1:12" x14ac:dyDescent="0.35">
      <c r="A22" s="251" t="s">
        <v>137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</row>
    <row r="24" spans="1:12" s="3" customFormat="1" x14ac:dyDescent="0.35">
      <c r="B24" s="7" t="s">
        <v>0</v>
      </c>
      <c r="C24" s="98" t="s">
        <v>204</v>
      </c>
      <c r="D24" s="4"/>
      <c r="E24" s="4"/>
      <c r="F24" s="4"/>
      <c r="G24" s="5"/>
      <c r="H24" s="4"/>
      <c r="I24" s="6"/>
    </row>
    <row r="25" spans="1:12" s="3" customFormat="1" ht="15" customHeight="1" x14ac:dyDescent="0.35">
      <c r="A25" s="2"/>
      <c r="B25" s="4"/>
      <c r="C25" s="4"/>
      <c r="D25" s="4"/>
      <c r="E25" s="4"/>
      <c r="F25" s="4"/>
      <c r="G25" s="5"/>
      <c r="H25" s="4"/>
      <c r="I25" s="6"/>
    </row>
    <row r="26" spans="1:12" s="3" customFormat="1" ht="59" customHeight="1" x14ac:dyDescent="0.35">
      <c r="A26" s="2"/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9" t="s">
        <v>6</v>
      </c>
      <c r="H26" s="4"/>
      <c r="I26" s="6"/>
    </row>
    <row r="27" spans="1:12" s="3" customFormat="1" ht="15" customHeight="1" x14ac:dyDescent="0.35">
      <c r="A27" s="2"/>
      <c r="B27" s="88">
        <v>46233</v>
      </c>
      <c r="C27" s="89" t="s">
        <v>139</v>
      </c>
      <c r="D27" s="89" t="s">
        <v>63</v>
      </c>
      <c r="E27" s="89" t="s">
        <v>64</v>
      </c>
      <c r="F27" s="39">
        <v>0.625</v>
      </c>
      <c r="G27" s="40">
        <v>0.95833333333333337</v>
      </c>
      <c r="H27" s="6"/>
      <c r="I27" s="6"/>
    </row>
    <row r="28" spans="1:12" s="3" customFormat="1" x14ac:dyDescent="0.35">
      <c r="A28" s="2"/>
      <c r="C28" s="4"/>
      <c r="D28" s="4"/>
      <c r="E28" s="4"/>
      <c r="F28" s="4"/>
      <c r="G28" s="5"/>
      <c r="H28" s="4"/>
      <c r="I28" s="6"/>
    </row>
    <row r="29" spans="1:12" s="3" customFormat="1" x14ac:dyDescent="0.35">
      <c r="A29" s="12">
        <v>1</v>
      </c>
      <c r="B29" s="2" t="s">
        <v>9</v>
      </c>
      <c r="C29" s="4"/>
      <c r="D29" s="4"/>
      <c r="E29" s="4"/>
      <c r="F29" s="4"/>
      <c r="G29" s="5"/>
      <c r="H29" s="4"/>
      <c r="I29" s="6"/>
    </row>
    <row r="30" spans="1:12" s="3" customFormat="1" x14ac:dyDescent="0.35">
      <c r="A30" s="2"/>
      <c r="C30" s="4"/>
    </row>
    <row r="31" spans="1:12" s="3" customFormat="1" ht="15" customHeight="1" x14ac:dyDescent="0.35">
      <c r="A31" s="2"/>
      <c r="D31" s="252" t="s">
        <v>7</v>
      </c>
      <c r="E31" s="253"/>
      <c r="F31" s="254"/>
      <c r="H31" s="255" t="s">
        <v>121</v>
      </c>
      <c r="I31" s="256"/>
      <c r="K31" s="1"/>
    </row>
    <row r="32" spans="1:12" s="3" customFormat="1" ht="14.5" customHeight="1" x14ac:dyDescent="0.35">
      <c r="A32" s="2"/>
      <c r="B32" s="8" t="s">
        <v>260</v>
      </c>
      <c r="C32" s="8" t="s">
        <v>261</v>
      </c>
      <c r="D32" s="10" t="s">
        <v>149</v>
      </c>
      <c r="E32" s="10" t="s">
        <v>150</v>
      </c>
      <c r="F32" s="8" t="s">
        <v>8</v>
      </c>
      <c r="H32" s="8" t="s">
        <v>11</v>
      </c>
      <c r="I32" s="8" t="s">
        <v>12</v>
      </c>
    </row>
    <row r="33" spans="1:12" s="3" customFormat="1" ht="26" x14ac:dyDescent="0.35">
      <c r="A33" s="90" t="s">
        <v>257</v>
      </c>
      <c r="B33" s="87" t="str">
        <f>D16</f>
        <v>DEBDA0319-T1-BDP-BC.4</v>
      </c>
      <c r="C33" s="111" t="s">
        <v>160</v>
      </c>
      <c r="D33" s="33">
        <f>E16</f>
        <v>264.72000000000003</v>
      </c>
      <c r="E33" s="33"/>
      <c r="F33" s="33"/>
      <c r="H33" s="33"/>
      <c r="I33" s="33"/>
    </row>
    <row r="34" spans="1:12" s="3" customFormat="1" ht="29" x14ac:dyDescent="0.35">
      <c r="A34" s="90" t="s">
        <v>259</v>
      </c>
      <c r="B34" s="87" t="str">
        <f>D8</f>
        <v>DEBDA0319-T1-BC.5</v>
      </c>
      <c r="C34" s="111" t="s">
        <v>160</v>
      </c>
      <c r="D34" s="33">
        <f>E8</f>
        <v>487.5</v>
      </c>
      <c r="E34" s="33">
        <f>F8</f>
        <v>488.75</v>
      </c>
      <c r="F34" s="33"/>
      <c r="G34" s="1"/>
      <c r="H34" s="1"/>
      <c r="I34" s="1"/>
      <c r="J34" s="1"/>
      <c r="K34" s="1"/>
    </row>
    <row r="35" spans="1:12" s="3" customFormat="1" ht="29" x14ac:dyDescent="0.35">
      <c r="A35" s="90" t="s">
        <v>259</v>
      </c>
      <c r="B35" s="87" t="str">
        <f t="shared" ref="B35:B36" si="0">D9</f>
        <v>DEBDA0319-T1-BC.6</v>
      </c>
      <c r="C35" s="111" t="s">
        <v>160</v>
      </c>
      <c r="D35" s="33">
        <f t="shared" ref="D35:E36" si="1">E9</f>
        <v>487.5</v>
      </c>
      <c r="E35" s="33">
        <f t="shared" si="1"/>
        <v>488.75</v>
      </c>
      <c r="F35" s="33"/>
      <c r="G35" s="1"/>
      <c r="H35" s="1"/>
      <c r="I35" s="1"/>
      <c r="J35" s="1"/>
      <c r="K35" s="1"/>
    </row>
    <row r="36" spans="1:12" s="3" customFormat="1" ht="29" x14ac:dyDescent="0.35">
      <c r="A36" s="90" t="s">
        <v>259</v>
      </c>
      <c r="B36" s="87" t="str">
        <f t="shared" si="0"/>
        <v>DEBDA0319-T1-BC.7</v>
      </c>
      <c r="C36" s="111" t="s">
        <v>160</v>
      </c>
      <c r="D36" s="33">
        <f t="shared" si="1"/>
        <v>487.5</v>
      </c>
      <c r="E36" s="33">
        <f t="shared" si="1"/>
        <v>488.75</v>
      </c>
      <c r="F36" s="33"/>
      <c r="G36" s="1"/>
      <c r="H36" s="1"/>
      <c r="I36" s="1"/>
      <c r="J36" s="1"/>
      <c r="K36" s="1"/>
    </row>
    <row r="37" spans="1:12" s="3" customForma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9" spans="1:12" s="3" customFormat="1" x14ac:dyDescent="0.35">
      <c r="A39" s="12">
        <v>2</v>
      </c>
      <c r="B39" s="2" t="s">
        <v>13</v>
      </c>
      <c r="C39" s="4"/>
      <c r="D39" s="4"/>
      <c r="E39" s="4"/>
      <c r="F39" s="12"/>
      <c r="G39" s="12"/>
      <c r="H39" s="12"/>
      <c r="I39" s="12"/>
      <c r="L39" s="4"/>
    </row>
    <row r="40" spans="1:12" s="3" customFormat="1" x14ac:dyDescent="0.35">
      <c r="A40" s="13"/>
      <c r="B40" s="105" t="s">
        <v>14</v>
      </c>
      <c r="C40" s="16" t="s">
        <v>155</v>
      </c>
      <c r="E40" s="4"/>
      <c r="F40" s="17"/>
      <c r="G40" s="17"/>
      <c r="H40" s="17"/>
      <c r="I40" s="17"/>
      <c r="J40" s="17"/>
      <c r="K40" s="17"/>
      <c r="L40" s="17"/>
    </row>
    <row r="41" spans="1:12" s="3" customFormat="1" x14ac:dyDescent="0.35">
      <c r="A41" s="13"/>
      <c r="B41" s="105" t="s">
        <v>16</v>
      </c>
      <c r="C41" s="112" t="str">
        <f>B33</f>
        <v>DEBDA0319-T1-BDP-BC.4</v>
      </c>
      <c r="D41" s="118" t="s">
        <v>225</v>
      </c>
      <c r="E41" s="18" t="s">
        <v>226</v>
      </c>
      <c r="F41" s="17"/>
      <c r="G41" s="17"/>
      <c r="H41" s="17"/>
      <c r="I41" s="17"/>
      <c r="J41" s="17"/>
      <c r="K41" s="17"/>
      <c r="L41" s="17"/>
    </row>
    <row r="42" spans="1:12" s="3" customFormat="1" x14ac:dyDescent="0.35">
      <c r="A42" s="13"/>
      <c r="B42" s="18"/>
      <c r="C42" s="18"/>
      <c r="D42" s="18"/>
      <c r="E42" s="18"/>
      <c r="F42" s="17"/>
      <c r="G42" s="17"/>
      <c r="H42" s="17"/>
      <c r="I42" s="17"/>
      <c r="J42" s="17"/>
      <c r="K42" s="17"/>
      <c r="L42" s="17"/>
    </row>
    <row r="43" spans="1:12" s="3" customFormat="1" x14ac:dyDescent="0.35">
      <c r="A43" s="13"/>
      <c r="B43" s="20" t="s">
        <v>22</v>
      </c>
      <c r="F43" s="4"/>
      <c r="G43" s="17"/>
      <c r="H43" s="17"/>
      <c r="I43" s="17"/>
      <c r="J43" s="17"/>
      <c r="K43" s="17"/>
      <c r="L43" s="17"/>
    </row>
    <row r="44" spans="1:12" s="3" customFormat="1" x14ac:dyDescent="0.35">
      <c r="B44" s="2" t="s">
        <v>29</v>
      </c>
      <c r="C44" s="8" t="s">
        <v>24</v>
      </c>
      <c r="D44" s="8" t="s">
        <v>25</v>
      </c>
      <c r="E44" s="8" t="s">
        <v>26</v>
      </c>
      <c r="F44" s="8" t="s">
        <v>27</v>
      </c>
      <c r="G44" s="8" t="s">
        <v>28</v>
      </c>
      <c r="H44" s="17"/>
      <c r="I44" s="17"/>
      <c r="J44" s="17"/>
      <c r="K44" s="17"/>
      <c r="L44" s="17"/>
    </row>
    <row r="45" spans="1:12" s="3" customFormat="1" x14ac:dyDescent="0.35">
      <c r="B45" s="4"/>
      <c r="C45" s="14">
        <v>58</v>
      </c>
      <c r="D45" s="22">
        <f>C45*E45</f>
        <v>274.92</v>
      </c>
      <c r="E45" s="14">
        <v>4.74</v>
      </c>
      <c r="F45" s="21">
        <v>4.71</v>
      </c>
      <c r="G45" s="106">
        <f>(E45-F45)/F45</f>
        <v>6.3694267515924099E-3</v>
      </c>
      <c r="H45" s="17"/>
      <c r="I45" s="17"/>
      <c r="J45" s="17"/>
      <c r="K45" s="17"/>
      <c r="L45" s="17"/>
    </row>
    <row r="46" spans="1:12" s="3" customFormat="1" x14ac:dyDescent="0.35">
      <c r="A46" s="4"/>
      <c r="H46" s="4"/>
      <c r="I46" s="5"/>
      <c r="J46" s="4"/>
      <c r="K46" s="4"/>
      <c r="L46" s="4"/>
    </row>
    <row r="47" spans="1:12" s="3" customFormat="1" x14ac:dyDescent="0.35">
      <c r="A47" s="13"/>
      <c r="B47" s="105" t="s">
        <v>227</v>
      </c>
      <c r="C47" s="112" t="str">
        <f>B34</f>
        <v>DEBDA0319-T1-BC.5</v>
      </c>
      <c r="D47" s="118" t="s">
        <v>225</v>
      </c>
      <c r="E47" s="18" t="s">
        <v>228</v>
      </c>
      <c r="F47" s="17"/>
      <c r="G47" s="17"/>
      <c r="H47" s="17"/>
      <c r="I47" s="17"/>
      <c r="J47" s="17"/>
      <c r="K47" s="17"/>
      <c r="L47" s="17"/>
    </row>
    <row r="48" spans="1:12" s="3" customFormat="1" x14ac:dyDescent="0.35">
      <c r="A48" s="13"/>
      <c r="B48" s="18"/>
      <c r="C48" s="18"/>
      <c r="D48" s="18"/>
      <c r="E48" s="18"/>
      <c r="F48" s="17"/>
      <c r="G48" s="17"/>
      <c r="H48" s="17"/>
      <c r="I48" s="17"/>
      <c r="J48" s="17"/>
      <c r="K48" s="17"/>
      <c r="L48" s="17"/>
    </row>
    <row r="49" spans="1:12" s="3" customFormat="1" x14ac:dyDescent="0.35">
      <c r="A49" s="13"/>
      <c r="B49" s="20" t="s">
        <v>22</v>
      </c>
      <c r="F49" s="4"/>
      <c r="G49" s="17"/>
      <c r="H49" s="17"/>
      <c r="I49" s="17"/>
      <c r="J49" s="17"/>
      <c r="K49" s="17"/>
      <c r="L49" s="17"/>
    </row>
    <row r="50" spans="1:12" s="3" customFormat="1" x14ac:dyDescent="0.35">
      <c r="B50" s="2" t="s">
        <v>29</v>
      </c>
      <c r="C50" s="8" t="s">
        <v>24</v>
      </c>
      <c r="D50" s="8" t="s">
        <v>25</v>
      </c>
      <c r="E50" s="8" t="s">
        <v>26</v>
      </c>
      <c r="F50" s="8" t="s">
        <v>27</v>
      </c>
      <c r="G50" s="8" t="s">
        <v>28</v>
      </c>
      <c r="H50" s="17"/>
      <c r="I50" s="17"/>
      <c r="J50" s="17"/>
      <c r="K50" s="17"/>
      <c r="L50" s="17"/>
    </row>
    <row r="51" spans="1:12" s="3" customFormat="1" x14ac:dyDescent="0.35">
      <c r="B51" s="4"/>
      <c r="C51" s="14">
        <v>100</v>
      </c>
      <c r="D51" s="22">
        <f>C51*E51</f>
        <v>474</v>
      </c>
      <c r="E51" s="14">
        <v>4.74</v>
      </c>
      <c r="F51" s="21">
        <v>4.71</v>
      </c>
      <c r="G51" s="106">
        <f>(E51-F51)/F51</f>
        <v>6.3694267515924099E-3</v>
      </c>
      <c r="H51" s="17"/>
      <c r="I51" s="17"/>
      <c r="J51" s="17"/>
      <c r="K51" s="17"/>
      <c r="L51" s="17"/>
    </row>
    <row r="52" spans="1:12" s="3" customFormat="1" x14ac:dyDescent="0.35">
      <c r="A52" s="4"/>
      <c r="H52" s="4"/>
      <c r="I52" s="5"/>
      <c r="J52" s="4"/>
      <c r="K52" s="4"/>
      <c r="L52" s="4"/>
    </row>
    <row r="53" spans="1:12" s="3" customFormat="1" x14ac:dyDescent="0.35">
      <c r="A53" s="13"/>
      <c r="B53" s="105" t="s">
        <v>229</v>
      </c>
      <c r="C53" s="112" t="str">
        <f>B35</f>
        <v>DEBDA0319-T1-BC.6</v>
      </c>
      <c r="D53" s="118" t="s">
        <v>225</v>
      </c>
      <c r="E53" s="18" t="s">
        <v>230</v>
      </c>
      <c r="F53" s="17"/>
      <c r="G53" s="17"/>
      <c r="H53" s="17"/>
      <c r="I53" s="17"/>
      <c r="J53" s="17"/>
      <c r="K53" s="17"/>
      <c r="L53" s="17"/>
    </row>
    <row r="54" spans="1:12" s="3" customFormat="1" x14ac:dyDescent="0.35">
      <c r="A54" s="13"/>
      <c r="B54" s="18"/>
      <c r="C54" s="18"/>
      <c r="D54" s="18"/>
      <c r="E54" s="18"/>
      <c r="F54" s="17"/>
      <c r="G54" s="17"/>
      <c r="H54" s="17"/>
      <c r="I54" s="17"/>
      <c r="J54" s="17"/>
      <c r="K54" s="17"/>
      <c r="L54" s="17"/>
    </row>
    <row r="55" spans="1:12" s="3" customFormat="1" x14ac:dyDescent="0.35">
      <c r="A55" s="13"/>
      <c r="B55" s="20" t="s">
        <v>22</v>
      </c>
      <c r="F55" s="4"/>
      <c r="G55" s="17"/>
      <c r="H55" s="17"/>
      <c r="I55" s="17"/>
      <c r="J55" s="17"/>
      <c r="K55" s="17"/>
      <c r="L55" s="17"/>
    </row>
    <row r="56" spans="1:12" s="3" customFormat="1" x14ac:dyDescent="0.35">
      <c r="B56" s="2" t="s">
        <v>29</v>
      </c>
      <c r="C56" s="8" t="s">
        <v>24</v>
      </c>
      <c r="D56" s="8" t="s">
        <v>25</v>
      </c>
      <c r="E56" s="8" t="s">
        <v>26</v>
      </c>
      <c r="F56" s="8" t="s">
        <v>27</v>
      </c>
      <c r="G56" s="8" t="s">
        <v>28</v>
      </c>
      <c r="H56" s="17"/>
      <c r="I56" s="17"/>
      <c r="J56" s="17"/>
      <c r="K56" s="17"/>
      <c r="L56" s="17"/>
    </row>
    <row r="57" spans="1:12" s="3" customFormat="1" x14ac:dyDescent="0.35">
      <c r="B57" s="4"/>
      <c r="C57" s="14">
        <v>100</v>
      </c>
      <c r="D57" s="22">
        <f>C57*E57</f>
        <v>474</v>
      </c>
      <c r="E57" s="14">
        <v>4.74</v>
      </c>
      <c r="F57" s="21">
        <v>4.71</v>
      </c>
      <c r="G57" s="106">
        <f>(E57-F57)/F57</f>
        <v>6.3694267515924099E-3</v>
      </c>
      <c r="H57" s="17"/>
      <c r="I57" s="17"/>
      <c r="J57" s="17"/>
      <c r="K57" s="17"/>
      <c r="L57" s="17"/>
    </row>
    <row r="58" spans="1:12" s="3" customFormat="1" x14ac:dyDescent="0.35">
      <c r="A58" s="4"/>
      <c r="H58" s="4"/>
      <c r="I58" s="5"/>
      <c r="J58" s="4"/>
      <c r="K58" s="4"/>
      <c r="L58" s="4"/>
    </row>
    <row r="59" spans="1:12" s="3" customFormat="1" x14ac:dyDescent="0.35">
      <c r="A59" s="13"/>
      <c r="B59" s="105" t="s">
        <v>231</v>
      </c>
      <c r="C59" s="112" t="str">
        <f>B36</f>
        <v>DEBDA0319-T1-BC.7</v>
      </c>
      <c r="D59" s="118" t="s">
        <v>225</v>
      </c>
      <c r="E59" s="18" t="s">
        <v>232</v>
      </c>
      <c r="F59" s="17"/>
      <c r="G59" s="17"/>
      <c r="H59" s="17"/>
      <c r="I59" s="17"/>
      <c r="J59" s="17"/>
      <c r="K59" s="17"/>
      <c r="L59" s="17"/>
    </row>
    <row r="60" spans="1:12" s="3" customFormat="1" x14ac:dyDescent="0.35">
      <c r="A60" s="13"/>
      <c r="B60" s="18"/>
      <c r="C60" s="18"/>
      <c r="D60" s="18"/>
      <c r="E60" s="18"/>
      <c r="F60" s="17"/>
      <c r="G60" s="17"/>
      <c r="H60" s="17"/>
      <c r="I60" s="17"/>
      <c r="J60" s="17"/>
      <c r="K60" s="17"/>
      <c r="L60" s="17"/>
    </row>
    <row r="61" spans="1:12" s="3" customFormat="1" x14ac:dyDescent="0.35">
      <c r="A61" s="13"/>
      <c r="B61" s="20" t="s">
        <v>22</v>
      </c>
      <c r="F61" s="4"/>
      <c r="G61" s="17"/>
      <c r="H61" s="17"/>
      <c r="I61" s="17"/>
      <c r="J61" s="17"/>
      <c r="K61" s="17"/>
      <c r="L61" s="17"/>
    </row>
    <row r="62" spans="1:12" s="3" customFormat="1" x14ac:dyDescent="0.35">
      <c r="B62" s="2" t="s">
        <v>29</v>
      </c>
      <c r="C62" s="8" t="s">
        <v>24</v>
      </c>
      <c r="D62" s="8" t="s">
        <v>25</v>
      </c>
      <c r="E62" s="8" t="s">
        <v>26</v>
      </c>
      <c r="F62" s="8" t="s">
        <v>27</v>
      </c>
      <c r="G62" s="8" t="s">
        <v>28</v>
      </c>
      <c r="H62" s="17"/>
      <c r="I62" s="17"/>
      <c r="J62" s="17"/>
      <c r="K62" s="17"/>
      <c r="L62" s="17"/>
    </row>
    <row r="63" spans="1:12" s="3" customFormat="1" x14ac:dyDescent="0.35">
      <c r="B63" s="4"/>
      <c r="C63" s="14">
        <v>100</v>
      </c>
      <c r="D63" s="22">
        <f>C63*E63</f>
        <v>474</v>
      </c>
      <c r="E63" s="14">
        <v>4.74</v>
      </c>
      <c r="F63" s="21">
        <v>4.71</v>
      </c>
      <c r="G63" s="106">
        <f>(E63-F63)/F63</f>
        <v>6.3694267515924099E-3</v>
      </c>
      <c r="H63" s="17"/>
      <c r="I63" s="17"/>
      <c r="J63" s="17"/>
      <c r="K63" s="17"/>
      <c r="L63" s="17"/>
    </row>
    <row r="64" spans="1:12" s="3" customFormat="1" x14ac:dyDescent="0.35">
      <c r="A64" s="4"/>
      <c r="H64" s="4"/>
      <c r="I64" s="5"/>
      <c r="J64" s="4"/>
      <c r="K64" s="4"/>
      <c r="L64" s="4"/>
    </row>
    <row r="65" spans="1:12" s="3" customFormat="1" x14ac:dyDescent="0.35">
      <c r="A65" s="4"/>
      <c r="H65" s="4"/>
      <c r="I65" s="5"/>
      <c r="J65" s="4"/>
      <c r="K65" s="4"/>
      <c r="L65" s="4"/>
    </row>
    <row r="66" spans="1:12" s="115" customFormat="1" x14ac:dyDescent="0.35">
      <c r="B66" s="129" t="s">
        <v>17</v>
      </c>
      <c r="C66" s="1"/>
      <c r="D66" s="1"/>
      <c r="E66" s="1"/>
      <c r="F66" s="1"/>
      <c r="G66" s="116"/>
      <c r="H66" s="116"/>
      <c r="I66" s="116"/>
      <c r="J66" s="116"/>
      <c r="K66" s="116"/>
      <c r="L66" s="116"/>
    </row>
    <row r="67" spans="1:12" s="115" customFormat="1" x14ac:dyDescent="0.35">
      <c r="B67" s="129" t="s">
        <v>18</v>
      </c>
      <c r="C67" s="117" t="s">
        <v>19</v>
      </c>
      <c r="D67" s="118" t="s">
        <v>15</v>
      </c>
      <c r="E67" s="119" t="s">
        <v>20</v>
      </c>
      <c r="F67" s="1"/>
      <c r="G67" s="116"/>
      <c r="H67" s="116"/>
      <c r="I67" s="116"/>
      <c r="J67" s="116"/>
      <c r="K67" s="116"/>
      <c r="L67" s="116"/>
    </row>
    <row r="68" spans="1:12" s="115" customFormat="1" x14ac:dyDescent="0.35">
      <c r="B68" s="105" t="s">
        <v>16</v>
      </c>
      <c r="C68" s="112" t="s">
        <v>166</v>
      </c>
      <c r="D68" s="1"/>
      <c r="E68" s="1"/>
      <c r="F68" s="1"/>
      <c r="G68" s="116"/>
      <c r="H68" s="116"/>
      <c r="I68" s="116"/>
      <c r="J68" s="116"/>
      <c r="K68" s="116"/>
      <c r="L68" s="116"/>
    </row>
    <row r="69" spans="1:12" s="115" customFormat="1" x14ac:dyDescent="0.35">
      <c r="C69" s="1"/>
      <c r="D69" s="1"/>
      <c r="E69" s="1"/>
      <c r="F69" s="1"/>
      <c r="G69" s="116"/>
      <c r="H69" s="116"/>
      <c r="I69" s="116"/>
      <c r="J69" s="116"/>
      <c r="K69" s="116"/>
      <c r="L69" s="116"/>
    </row>
    <row r="70" spans="1:12" s="115" customFormat="1" x14ac:dyDescent="0.35">
      <c r="A70" s="1"/>
      <c r="B70" s="1"/>
      <c r="C70" s="120" t="s">
        <v>21</v>
      </c>
      <c r="D70" s="120" t="s">
        <v>22</v>
      </c>
      <c r="E70" s="1"/>
      <c r="F70" s="1"/>
      <c r="G70" s="121"/>
      <c r="H70" s="1"/>
      <c r="I70" s="121"/>
      <c r="J70" s="1"/>
      <c r="K70" s="1"/>
      <c r="L70" s="1"/>
    </row>
    <row r="71" spans="1:12" s="115" customFormat="1" x14ac:dyDescent="0.35">
      <c r="A71" s="1"/>
      <c r="B71" s="1"/>
      <c r="C71" s="1"/>
      <c r="D71" s="1"/>
      <c r="E71" s="1"/>
      <c r="F71" s="1"/>
      <c r="G71" s="121"/>
      <c r="H71" s="1"/>
      <c r="I71" s="121"/>
      <c r="J71" s="1"/>
      <c r="K71" s="1"/>
      <c r="L71" s="1"/>
    </row>
    <row r="72" spans="1:12" s="115" customFormat="1" x14ac:dyDescent="0.35">
      <c r="A72" s="1"/>
      <c r="B72" s="122" t="s">
        <v>23</v>
      </c>
      <c r="C72" s="123" t="s">
        <v>24</v>
      </c>
      <c r="D72" s="123" t="s">
        <v>25</v>
      </c>
      <c r="E72" s="123" t="s">
        <v>26</v>
      </c>
      <c r="F72" s="123" t="s">
        <v>27</v>
      </c>
      <c r="G72" s="123" t="s">
        <v>28</v>
      </c>
      <c r="H72" s="124" t="s">
        <v>165</v>
      </c>
      <c r="I72" s="121"/>
      <c r="J72" s="1"/>
      <c r="K72" s="1"/>
      <c r="L72" s="1"/>
    </row>
    <row r="73" spans="1:12" s="115" customFormat="1" x14ac:dyDescent="0.35">
      <c r="A73" s="1"/>
      <c r="B73" s="1"/>
      <c r="C73" s="94"/>
      <c r="D73" s="94"/>
      <c r="E73" s="125"/>
      <c r="F73" s="126"/>
      <c r="G73" s="127"/>
      <c r="H73" s="1"/>
      <c r="I73" s="121"/>
      <c r="J73" s="1"/>
      <c r="K73" s="1"/>
      <c r="L73" s="1"/>
    </row>
    <row r="74" spans="1:12" s="115" customFormat="1" x14ac:dyDescent="0.35">
      <c r="A74" s="1"/>
      <c r="B74" s="1"/>
      <c r="C74" s="1"/>
      <c r="D74" s="1"/>
      <c r="E74" s="1"/>
      <c r="F74" s="1"/>
      <c r="G74" s="121"/>
      <c r="H74" s="1"/>
      <c r="I74" s="121"/>
      <c r="J74" s="1"/>
      <c r="K74" s="1"/>
      <c r="L74" s="1"/>
    </row>
    <row r="75" spans="1:12" s="115" customFormat="1" x14ac:dyDescent="0.35">
      <c r="A75" s="1"/>
      <c r="B75" s="122" t="s">
        <v>29</v>
      </c>
      <c r="C75" s="123" t="s">
        <v>24</v>
      </c>
      <c r="D75" s="123" t="s">
        <v>25</v>
      </c>
      <c r="E75" s="123" t="s">
        <v>26</v>
      </c>
      <c r="F75" s="123" t="s">
        <v>27</v>
      </c>
      <c r="G75" s="123" t="s">
        <v>28</v>
      </c>
      <c r="H75" s="1"/>
      <c r="I75" s="121"/>
      <c r="J75" s="1"/>
      <c r="K75" s="1"/>
      <c r="L75" s="1"/>
    </row>
    <row r="76" spans="1:12" s="115" customFormat="1" x14ac:dyDescent="0.35">
      <c r="A76" s="1"/>
      <c r="B76" s="1"/>
      <c r="C76" s="94"/>
      <c r="D76" s="128"/>
      <c r="E76" s="94"/>
      <c r="F76" s="126"/>
      <c r="G76" s="127"/>
      <c r="H76" s="1"/>
      <c r="I76" s="121"/>
      <c r="J76" s="1"/>
      <c r="K76" s="1"/>
      <c r="L76" s="1"/>
    </row>
    <row r="77" spans="1:12" s="3" customFormat="1" x14ac:dyDescent="0.35">
      <c r="A77" s="4"/>
      <c r="H77" s="4"/>
      <c r="I77" s="5"/>
      <c r="J77" s="4"/>
      <c r="K77" s="4"/>
      <c r="L77" s="4"/>
    </row>
    <row r="78" spans="1:12" s="3" customFormat="1" x14ac:dyDescent="0.35">
      <c r="A78" s="4"/>
      <c r="H78" s="4"/>
      <c r="I78" s="5"/>
      <c r="J78" s="4"/>
      <c r="K78" s="4"/>
      <c r="L78" s="4"/>
    </row>
    <row r="79" spans="1:12" s="3" customFormat="1" x14ac:dyDescent="0.35">
      <c r="A79" s="12">
        <v>3</v>
      </c>
      <c r="B79" s="2" t="s">
        <v>30</v>
      </c>
      <c r="C79" s="4"/>
      <c r="D79" s="4"/>
      <c r="E79" s="4"/>
      <c r="F79" s="4"/>
      <c r="G79" s="5"/>
      <c r="H79" s="4"/>
      <c r="I79" s="5"/>
      <c r="J79" s="4"/>
      <c r="K79" s="4"/>
      <c r="L79" s="4"/>
    </row>
    <row r="80" spans="1:12" s="3" customFormat="1" x14ac:dyDescent="0.35">
      <c r="A80" s="12"/>
      <c r="B80" s="2" t="s">
        <v>31</v>
      </c>
      <c r="C80" s="4"/>
      <c r="D80" s="4"/>
      <c r="E80" s="4"/>
      <c r="F80" s="4"/>
      <c r="G80" s="5"/>
      <c r="H80" s="4"/>
      <c r="I80" s="5"/>
      <c r="J80" s="4"/>
      <c r="K80" s="4"/>
      <c r="L80" s="4"/>
    </row>
    <row r="81" spans="1:12" s="3" customFormat="1" x14ac:dyDescent="0.35">
      <c r="A81" s="12"/>
      <c r="B81" s="23" t="s">
        <v>32</v>
      </c>
      <c r="C81" s="16" t="str">
        <f>C40</f>
        <v>Canal C75.75 PRE B</v>
      </c>
      <c r="D81" s="4"/>
      <c r="E81" s="4"/>
      <c r="F81" s="4"/>
      <c r="G81" s="5"/>
      <c r="H81" s="4"/>
      <c r="I81" s="5"/>
      <c r="J81" s="4"/>
      <c r="K81" s="4"/>
      <c r="L81" s="4"/>
    </row>
    <row r="82" spans="1:12" s="3" customFormat="1" x14ac:dyDescent="0.35">
      <c r="A82" s="13"/>
      <c r="B82" s="8" t="s">
        <v>33</v>
      </c>
      <c r="C82" s="8" t="s">
        <v>34</v>
      </c>
      <c r="D82" s="8" t="s">
        <v>35</v>
      </c>
      <c r="E82" s="8" t="s">
        <v>36</v>
      </c>
      <c r="F82" s="8" t="s">
        <v>26</v>
      </c>
      <c r="G82" s="8" t="s">
        <v>37</v>
      </c>
      <c r="H82" s="8" t="s">
        <v>38</v>
      </c>
      <c r="I82" s="5"/>
      <c r="J82" s="4"/>
      <c r="K82" s="4"/>
      <c r="L82" s="4"/>
    </row>
    <row r="83" spans="1:12" s="3" customFormat="1" x14ac:dyDescent="0.35">
      <c r="A83" s="13"/>
      <c r="B83" s="12">
        <v>1</v>
      </c>
      <c r="C83" s="15" t="s">
        <v>262</v>
      </c>
      <c r="D83" s="15">
        <v>8</v>
      </c>
      <c r="E83" s="15">
        <v>18.96</v>
      </c>
      <c r="F83" s="24">
        <f>E83/D83</f>
        <v>2.37</v>
      </c>
      <c r="G83" s="114" t="str">
        <f>$C$81&amp;"-"&amp;"KW 2"&amp;"- 01"</f>
        <v>Canal C75.75 PRE B-KW 2- 01</v>
      </c>
      <c r="H83" s="14"/>
      <c r="I83" s="5"/>
      <c r="J83" s="4"/>
      <c r="K83" s="4"/>
      <c r="L83" s="4"/>
    </row>
    <row r="84" spans="1:12" s="3" customFormat="1" x14ac:dyDescent="0.35">
      <c r="A84" s="13"/>
      <c r="B84" s="12">
        <v>2</v>
      </c>
      <c r="C84" s="14" t="s">
        <v>263</v>
      </c>
      <c r="D84" s="14">
        <v>2</v>
      </c>
      <c r="E84" s="14">
        <v>6.32</v>
      </c>
      <c r="F84" s="24">
        <f t="shared" ref="F84:F85" si="2">E84/D84</f>
        <v>3.16</v>
      </c>
      <c r="G84" s="114" t="str">
        <f>$C$81&amp;"-"&amp;"KW 2"&amp;"- 02"</f>
        <v>Canal C75.75 PRE B-KW 2- 02</v>
      </c>
      <c r="H84" s="14"/>
      <c r="I84" s="5"/>
      <c r="J84" s="4"/>
      <c r="K84" s="4"/>
      <c r="L84" s="4"/>
    </row>
    <row r="85" spans="1:12" s="3" customFormat="1" x14ac:dyDescent="0.35">
      <c r="A85" s="13"/>
      <c r="B85" s="12">
        <v>3</v>
      </c>
      <c r="C85" s="14" t="s">
        <v>264</v>
      </c>
      <c r="D85" s="14">
        <v>2</v>
      </c>
      <c r="E85" s="14">
        <v>7.9</v>
      </c>
      <c r="F85" s="24">
        <f t="shared" si="2"/>
        <v>3.95</v>
      </c>
      <c r="G85" s="114" t="str">
        <f>$C$81&amp;"-"&amp;"KW 2"&amp;"- 03"</f>
        <v>Canal C75.75 PRE B-KW 2- 03</v>
      </c>
      <c r="H85" s="14"/>
      <c r="I85" s="5"/>
      <c r="J85" s="4"/>
      <c r="K85" s="4"/>
      <c r="L85" s="4"/>
    </row>
    <row r="86" spans="1:12" s="3" customFormat="1" x14ac:dyDescent="0.35">
      <c r="A86" s="13"/>
      <c r="B86" s="4"/>
      <c r="C86" s="4"/>
      <c r="D86" s="4"/>
      <c r="E86" s="4"/>
      <c r="F86" s="4"/>
      <c r="G86" s="5"/>
      <c r="H86" s="4"/>
      <c r="I86" s="5"/>
      <c r="J86" s="4"/>
      <c r="K86" s="4"/>
      <c r="L86" s="4"/>
    </row>
    <row r="87" spans="1:12" s="3" customFormat="1" x14ac:dyDescent="0.35">
      <c r="A87" s="12"/>
      <c r="B87" s="2" t="s">
        <v>39</v>
      </c>
      <c r="C87" s="4"/>
      <c r="D87" s="4"/>
      <c r="E87" s="4"/>
      <c r="F87" s="4"/>
      <c r="G87" s="5"/>
      <c r="H87" s="4"/>
      <c r="I87" s="5"/>
      <c r="J87" s="4"/>
      <c r="K87" s="4"/>
      <c r="L87" s="4"/>
    </row>
    <row r="88" spans="1:12" s="3" customFormat="1" x14ac:dyDescent="0.35">
      <c r="A88" s="12"/>
      <c r="B88" s="23" t="s">
        <v>32</v>
      </c>
      <c r="C88" s="19" t="s">
        <v>19</v>
      </c>
      <c r="D88" s="4"/>
      <c r="E88" s="4"/>
      <c r="F88" s="4"/>
      <c r="G88" s="5"/>
      <c r="H88" s="4"/>
      <c r="I88" s="5"/>
      <c r="J88" s="4"/>
      <c r="K88" s="4"/>
      <c r="L88" s="4"/>
    </row>
    <row r="89" spans="1:12" s="3" customFormat="1" x14ac:dyDescent="0.35">
      <c r="A89" s="13"/>
      <c r="B89" s="8" t="s">
        <v>33</v>
      </c>
      <c r="C89" s="8" t="s">
        <v>34</v>
      </c>
      <c r="D89" s="8" t="s">
        <v>35</v>
      </c>
      <c r="E89" s="8" t="s">
        <v>36</v>
      </c>
      <c r="F89" s="8" t="s">
        <v>26</v>
      </c>
      <c r="G89" s="8" t="s">
        <v>37</v>
      </c>
      <c r="H89" s="8" t="s">
        <v>38</v>
      </c>
      <c r="I89" s="26" t="s">
        <v>40</v>
      </c>
      <c r="J89" s="4"/>
      <c r="K89" s="4"/>
      <c r="L89" s="4"/>
    </row>
    <row r="90" spans="1:12" s="3" customFormat="1" x14ac:dyDescent="0.35">
      <c r="A90" s="13"/>
      <c r="B90" s="12">
        <v>1</v>
      </c>
      <c r="C90" s="14"/>
      <c r="D90" s="14"/>
      <c r="E90" s="14"/>
      <c r="F90" s="24"/>
      <c r="G90" s="25"/>
      <c r="H90" s="14"/>
      <c r="I90" s="5"/>
      <c r="J90" s="4"/>
      <c r="K90" s="4"/>
      <c r="L90" s="4"/>
    </row>
    <row r="91" spans="1:12" s="3" customFormat="1" x14ac:dyDescent="0.35">
      <c r="A91" s="13"/>
      <c r="B91" s="12">
        <v>2</v>
      </c>
      <c r="C91" s="14"/>
      <c r="D91" s="14"/>
      <c r="E91" s="14"/>
      <c r="F91" s="24"/>
      <c r="G91" s="25"/>
      <c r="H91" s="14"/>
      <c r="I91" s="5"/>
      <c r="J91" s="4"/>
      <c r="K91" s="4"/>
      <c r="L91" s="4"/>
    </row>
    <row r="92" spans="1:12" s="3" customFormat="1" x14ac:dyDescent="0.35">
      <c r="A92" s="13"/>
      <c r="B92" s="4"/>
      <c r="C92" s="4"/>
      <c r="D92" s="4"/>
      <c r="E92" s="4"/>
      <c r="F92" s="4"/>
      <c r="G92" s="5"/>
      <c r="H92" s="4"/>
      <c r="I92" s="5"/>
      <c r="J92" s="4"/>
      <c r="K92" s="4"/>
      <c r="L92" s="4"/>
    </row>
    <row r="93" spans="1:12" s="3" customFormat="1" x14ac:dyDescent="0.35">
      <c r="A93" s="12">
        <v>4</v>
      </c>
      <c r="B93" s="2" t="s">
        <v>41</v>
      </c>
      <c r="C93" s="4"/>
      <c r="D93" s="4"/>
      <c r="E93" s="4"/>
      <c r="F93" s="4"/>
      <c r="G93" s="5"/>
      <c r="H93" s="4"/>
      <c r="I93" s="5"/>
      <c r="J93" s="4"/>
      <c r="K93" s="4"/>
      <c r="L93" s="4"/>
    </row>
    <row r="94" spans="1:12" s="3" customFormat="1" x14ac:dyDescent="0.35">
      <c r="A94" s="12"/>
      <c r="B94" s="7" t="s">
        <v>233</v>
      </c>
      <c r="C94" s="98">
        <f>D14</f>
        <v>0</v>
      </c>
      <c r="D94" s="4"/>
      <c r="E94" s="4"/>
      <c r="F94" s="4"/>
      <c r="G94" s="5"/>
      <c r="H94" s="4"/>
      <c r="I94" s="5"/>
      <c r="J94" s="4"/>
      <c r="K94" s="4"/>
      <c r="L94" s="4"/>
    </row>
    <row r="95" spans="1:12" s="3" customFormat="1" x14ac:dyDescent="0.35">
      <c r="A95" s="13"/>
      <c r="B95" s="7" t="s">
        <v>235</v>
      </c>
      <c r="C95" s="91"/>
      <c r="D95" s="27" t="s">
        <v>234</v>
      </c>
      <c r="E95" s="166"/>
      <c r="F95" s="4"/>
      <c r="G95" s="4"/>
      <c r="H95" s="166"/>
      <c r="I95" s="5"/>
      <c r="J95" s="4"/>
      <c r="K95" s="4"/>
      <c r="L95" s="4"/>
    </row>
    <row r="96" spans="1:12" s="3" customFormat="1" x14ac:dyDescent="0.35">
      <c r="A96" s="13"/>
      <c r="B96" s="7"/>
      <c r="C96" s="7"/>
      <c r="D96" s="27"/>
      <c r="E96" s="4"/>
      <c r="F96" s="4"/>
      <c r="G96" s="4"/>
      <c r="H96" s="4"/>
      <c r="I96" s="5"/>
      <c r="J96" s="4"/>
      <c r="K96" s="4"/>
      <c r="L96" s="4"/>
    </row>
    <row r="97" spans="1:12" s="3" customFormat="1" x14ac:dyDescent="0.35">
      <c r="A97" s="13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</row>
    <row r="98" spans="1:12" s="3" customFormat="1" x14ac:dyDescent="0.35">
      <c r="A98" s="12">
        <v>5</v>
      </c>
      <c r="B98" s="2" t="s">
        <v>42</v>
      </c>
      <c r="C98" s="4"/>
      <c r="D98" s="4"/>
      <c r="E98" s="4"/>
      <c r="F98" s="4"/>
      <c r="G98" s="5"/>
      <c r="H98" s="4"/>
      <c r="I98" s="5"/>
      <c r="J98" s="4"/>
      <c r="K98" s="4"/>
      <c r="L98" s="4"/>
    </row>
    <row r="99" spans="1:12" s="3" customFormat="1" x14ac:dyDescent="0.35">
      <c r="A99" s="13"/>
      <c r="B99" s="7" t="s">
        <v>236</v>
      </c>
      <c r="C99" s="98" t="s">
        <v>237</v>
      </c>
      <c r="D99" s="4"/>
      <c r="E99" s="4"/>
      <c r="F99" s="4"/>
      <c r="G99" s="5"/>
      <c r="H99" s="4"/>
      <c r="I99" s="5"/>
      <c r="J99" s="4"/>
      <c r="K99" s="4"/>
      <c r="L99" s="4"/>
    </row>
    <row r="100" spans="1:12" s="3" customFormat="1" x14ac:dyDescent="0.35">
      <c r="A100" s="13"/>
      <c r="B100" s="7" t="s">
        <v>238</v>
      </c>
      <c r="C100" s="91"/>
      <c r="D100" s="27" t="s">
        <v>239</v>
      </c>
      <c r="E100" s="4"/>
      <c r="F100" s="4"/>
      <c r="G100" s="5"/>
      <c r="H100" s="4"/>
      <c r="I100" s="5"/>
      <c r="J100" s="4"/>
      <c r="K100" s="4"/>
      <c r="L100" s="4"/>
    </row>
    <row r="101" spans="1:12" s="3" customFormat="1" x14ac:dyDescent="0.35">
      <c r="A101" s="13"/>
      <c r="B101" s="4"/>
      <c r="C101" s="4"/>
      <c r="D101" s="80"/>
      <c r="E101" s="4"/>
      <c r="F101" s="4"/>
      <c r="G101" s="5"/>
      <c r="H101" s="4"/>
      <c r="I101" s="5"/>
      <c r="J101" s="4"/>
      <c r="K101" s="4"/>
      <c r="L101" s="4"/>
    </row>
    <row r="102" spans="1:12" s="3" customFormat="1" x14ac:dyDescent="0.35">
      <c r="A102" s="13"/>
      <c r="B102" s="4"/>
      <c r="C102" s="4"/>
      <c r="D102" s="80"/>
      <c r="E102" s="4"/>
      <c r="F102" s="4"/>
      <c r="G102" s="5"/>
      <c r="H102" s="4"/>
      <c r="I102" s="5"/>
      <c r="J102" s="4"/>
      <c r="K102" s="4"/>
      <c r="L102" s="4"/>
    </row>
    <row r="103" spans="1:12" s="3" customFormat="1" x14ac:dyDescent="0.35">
      <c r="A103" s="12">
        <v>6</v>
      </c>
      <c r="B103" s="2" t="s">
        <v>161</v>
      </c>
      <c r="C103" s="4"/>
      <c r="D103" s="4"/>
      <c r="E103" s="4"/>
      <c r="F103" s="4"/>
      <c r="G103" s="5"/>
      <c r="H103" s="4"/>
      <c r="I103" s="5"/>
      <c r="J103" s="4"/>
      <c r="K103" s="4"/>
      <c r="L103" s="4"/>
    </row>
    <row r="104" spans="1:12" s="3" customFormat="1" x14ac:dyDescent="0.35">
      <c r="A104" s="13"/>
      <c r="C104" s="8" t="s">
        <v>43</v>
      </c>
      <c r="D104" s="8" t="s">
        <v>52</v>
      </c>
      <c r="E104" s="8" t="s">
        <v>48</v>
      </c>
      <c r="F104" s="4"/>
      <c r="G104" s="5"/>
      <c r="H104" s="4"/>
      <c r="I104" s="5"/>
      <c r="J104" s="4"/>
      <c r="K104" s="4"/>
      <c r="L104" s="4"/>
    </row>
    <row r="105" spans="1:12" s="3" customFormat="1" x14ac:dyDescent="0.35">
      <c r="A105" s="13"/>
      <c r="C105" s="15">
        <v>0</v>
      </c>
      <c r="D105" s="15">
        <v>0</v>
      </c>
      <c r="E105" s="15">
        <v>0</v>
      </c>
      <c r="F105" s="4"/>
      <c r="G105" s="5"/>
      <c r="H105" s="4"/>
      <c r="I105" s="5"/>
      <c r="J105" s="4"/>
      <c r="K105" s="4"/>
      <c r="L105" s="4"/>
    </row>
    <row r="106" spans="1:12" s="3" customFormat="1" x14ac:dyDescent="0.35">
      <c r="A106" s="13"/>
      <c r="B106" s="4"/>
      <c r="C106" s="4"/>
      <c r="D106" s="4"/>
      <c r="E106" s="4"/>
      <c r="F106" s="4"/>
      <c r="G106" s="5"/>
      <c r="H106" s="4"/>
      <c r="I106" s="5"/>
      <c r="J106" s="4"/>
      <c r="K106" s="4"/>
      <c r="L106" s="4"/>
    </row>
    <row r="107" spans="1:12" s="3" customFormat="1" x14ac:dyDescent="0.35">
      <c r="A107" s="12"/>
      <c r="C107" s="257" t="s">
        <v>162</v>
      </c>
      <c r="D107" s="257"/>
      <c r="E107" s="257"/>
      <c r="F107" s="4"/>
      <c r="G107" s="5"/>
      <c r="H107" s="4"/>
      <c r="I107" s="5"/>
      <c r="J107" s="4"/>
      <c r="K107" s="4"/>
      <c r="L107" s="4"/>
    </row>
    <row r="108" spans="1:12" s="3" customFormat="1" x14ac:dyDescent="0.35">
      <c r="A108" s="13"/>
      <c r="B108" s="4"/>
      <c r="C108" s="8" t="s">
        <v>44</v>
      </c>
      <c r="D108" s="8" t="s">
        <v>47</v>
      </c>
      <c r="E108" s="8" t="s">
        <v>38</v>
      </c>
      <c r="F108" s="4"/>
      <c r="G108" s="5"/>
      <c r="H108" s="4"/>
      <c r="I108" s="5"/>
      <c r="J108" s="4"/>
      <c r="K108" s="4"/>
      <c r="L108" s="4"/>
    </row>
    <row r="109" spans="1:12" s="3" customFormat="1" x14ac:dyDescent="0.35">
      <c r="A109" s="13"/>
      <c r="B109" s="7" t="s">
        <v>45</v>
      </c>
      <c r="C109" s="14">
        <v>0</v>
      </c>
      <c r="D109" s="14">
        <v>4.62</v>
      </c>
      <c r="E109" s="14"/>
      <c r="F109" s="4"/>
      <c r="G109" s="5"/>
      <c r="H109" s="4"/>
      <c r="I109" s="5"/>
      <c r="J109" s="4"/>
      <c r="K109" s="4"/>
      <c r="L109" s="4"/>
    </row>
    <row r="110" spans="1:12" s="3" customFormat="1" x14ac:dyDescent="0.35">
      <c r="A110" s="13"/>
      <c r="B110" s="7" t="s">
        <v>46</v>
      </c>
      <c r="C110" s="14">
        <v>0</v>
      </c>
      <c r="D110" s="14">
        <v>0</v>
      </c>
      <c r="E110" s="14"/>
      <c r="F110" s="4"/>
      <c r="G110" s="5"/>
      <c r="H110" s="4"/>
      <c r="I110" s="5"/>
      <c r="J110" s="4"/>
      <c r="K110" s="4"/>
      <c r="L110" s="4"/>
    </row>
    <row r="111" spans="1:12" s="3" customFormat="1" x14ac:dyDescent="0.35">
      <c r="A111" s="13"/>
      <c r="B111" s="4"/>
      <c r="C111" s="4"/>
      <c r="D111" s="4"/>
      <c r="E111" s="4"/>
      <c r="F111" s="4"/>
      <c r="G111" s="5"/>
      <c r="H111" s="4"/>
      <c r="I111" s="5"/>
      <c r="J111" s="4"/>
      <c r="K111" s="4"/>
      <c r="L111" s="4"/>
    </row>
    <row r="112" spans="1:12" s="3" customFormat="1" x14ac:dyDescent="0.35">
      <c r="A112" s="12"/>
      <c r="B112" s="7" t="s">
        <v>163</v>
      </c>
      <c r="C112" s="113">
        <f>SUM(C105:E105,C109:D110)</f>
        <v>4.62</v>
      </c>
      <c r="D112" s="4"/>
      <c r="E112" s="4"/>
      <c r="F112" s="4"/>
      <c r="G112" s="5"/>
      <c r="H112" s="4"/>
      <c r="I112" s="5"/>
      <c r="J112" s="4"/>
      <c r="K112" s="4"/>
      <c r="L112" s="4"/>
    </row>
    <row r="113" spans="1:33" s="3" customFormat="1" x14ac:dyDescent="0.35">
      <c r="A113" s="13"/>
      <c r="E113" s="4"/>
      <c r="F113" s="4"/>
      <c r="G113" s="5"/>
      <c r="H113" s="4"/>
      <c r="I113" s="5"/>
      <c r="J113" s="4"/>
      <c r="K113" s="4"/>
      <c r="L113" s="4"/>
    </row>
    <row r="114" spans="1:33" s="3" customFormat="1" x14ac:dyDescent="0.35">
      <c r="A114" s="13"/>
      <c r="B114" s="4"/>
      <c r="C114" s="4"/>
      <c r="D114" s="4"/>
      <c r="E114" s="4"/>
      <c r="F114" s="4"/>
      <c r="G114" s="5"/>
      <c r="H114" s="4"/>
      <c r="I114" s="5"/>
      <c r="J114" s="4"/>
      <c r="K114" s="4"/>
      <c r="L114" s="4"/>
    </row>
    <row r="115" spans="1:33" s="3" customFormat="1" x14ac:dyDescent="0.35">
      <c r="A115" s="12">
        <v>7</v>
      </c>
      <c r="B115" s="2" t="s">
        <v>123</v>
      </c>
      <c r="C115" s="4"/>
      <c r="D115" s="28"/>
      <c r="E115" s="4"/>
      <c r="F115" s="4"/>
      <c r="G115" s="5"/>
      <c r="H115" s="4"/>
      <c r="I115" s="5"/>
      <c r="J115" s="4"/>
      <c r="K115" s="4"/>
      <c r="L115" s="4"/>
    </row>
    <row r="116" spans="1:33" s="3" customFormat="1" ht="28.5" x14ac:dyDescent="0.35">
      <c r="A116" s="13"/>
      <c r="B116" s="29" t="s">
        <v>49</v>
      </c>
      <c r="C116" s="29" t="s">
        <v>50</v>
      </c>
      <c r="D116" s="242" t="s">
        <v>164</v>
      </c>
      <c r="E116" s="243"/>
      <c r="F116" s="243"/>
      <c r="G116" s="243"/>
      <c r="H116" s="30" t="s">
        <v>53</v>
      </c>
      <c r="I116" s="29" t="s">
        <v>54</v>
      </c>
      <c r="J116" s="29" t="s">
        <v>55</v>
      </c>
      <c r="K116" s="29" t="s">
        <v>56</v>
      </c>
      <c r="L116" s="29" t="s">
        <v>57</v>
      </c>
    </row>
    <row r="117" spans="1:33" s="3" customFormat="1" x14ac:dyDescent="0.35">
      <c r="A117" s="13"/>
      <c r="B117" s="31">
        <f>SUM(D45,D51,D57,D63)</f>
        <v>1696.92</v>
      </c>
      <c r="C117" s="31">
        <f>SUM(E83:E85)</f>
        <v>33.18</v>
      </c>
      <c r="D117" s="244">
        <f>C112</f>
        <v>4.62</v>
      </c>
      <c r="E117" s="245"/>
      <c r="F117" s="245"/>
      <c r="G117" s="246"/>
      <c r="H117" s="31">
        <f>C95</f>
        <v>0</v>
      </c>
      <c r="I117" s="32">
        <f>SUM(B117:H117)</f>
        <v>1734.72</v>
      </c>
      <c r="J117" s="33">
        <f>SUM(D33:D36)</f>
        <v>1727.22</v>
      </c>
      <c r="K117" s="32">
        <f>J117-I117</f>
        <v>-7.5</v>
      </c>
      <c r="L117" s="34">
        <f>K117/J117</f>
        <v>-4.3422378156806893E-3</v>
      </c>
      <c r="M117" s="85" t="s">
        <v>66</v>
      </c>
    </row>
    <row r="118" spans="1:33" s="3" customFormat="1" x14ac:dyDescent="0.35">
      <c r="A118" s="13"/>
      <c r="B118" s="4"/>
      <c r="C118" s="4"/>
      <c r="D118" s="4"/>
      <c r="E118" s="4"/>
      <c r="F118" s="4"/>
      <c r="G118" s="5"/>
      <c r="H118" s="5"/>
      <c r="I118" s="4"/>
      <c r="J118" s="4"/>
      <c r="K118" s="4"/>
      <c r="M118" s="86" t="s">
        <v>67</v>
      </c>
    </row>
    <row r="119" spans="1:33" s="3" customFormat="1" x14ac:dyDescent="0.35">
      <c r="A119" s="13"/>
      <c r="B119" s="4"/>
      <c r="C119" s="4"/>
      <c r="D119" s="4"/>
      <c r="E119" s="4"/>
      <c r="F119" s="4"/>
      <c r="G119" s="5"/>
      <c r="H119" s="5"/>
      <c r="I119" s="4"/>
      <c r="J119" s="4"/>
      <c r="K119" s="4"/>
      <c r="M119" s="86"/>
    </row>
    <row r="120" spans="1:33" s="3" customFormat="1" x14ac:dyDescent="0.35">
      <c r="A120" s="12">
        <v>8</v>
      </c>
      <c r="B120" s="65" t="s">
        <v>124</v>
      </c>
      <c r="D120" s="92"/>
      <c r="E120" s="92"/>
      <c r="F120" s="92"/>
      <c r="G120" s="300" t="s">
        <v>151</v>
      </c>
      <c r="H120" s="301"/>
      <c r="I120" s="301"/>
      <c r="J120" s="92"/>
      <c r="K120" s="92"/>
      <c r="L120" s="92"/>
    </row>
    <row r="121" spans="1:33" s="3" customFormat="1" ht="39" x14ac:dyDescent="0.35">
      <c r="A121" s="8" t="s">
        <v>125</v>
      </c>
      <c r="B121" s="8" t="s">
        <v>153</v>
      </c>
      <c r="C121" s="10" t="s">
        <v>65</v>
      </c>
      <c r="D121" s="10" t="s">
        <v>117</v>
      </c>
      <c r="E121" s="10" t="s">
        <v>249</v>
      </c>
      <c r="F121" s="8" t="s">
        <v>250</v>
      </c>
      <c r="G121" s="8" t="s">
        <v>126</v>
      </c>
      <c r="H121" s="8" t="s">
        <v>127</v>
      </c>
      <c r="I121" s="8" t="s">
        <v>168</v>
      </c>
      <c r="J121" s="10" t="s">
        <v>41</v>
      </c>
      <c r="K121" s="10" t="s">
        <v>167</v>
      </c>
      <c r="L121" s="10" t="s">
        <v>169</v>
      </c>
      <c r="M121" s="10" t="s">
        <v>128</v>
      </c>
    </row>
    <row r="122" spans="1:33" s="3" customFormat="1" ht="26" x14ac:dyDescent="0.35">
      <c r="A122" s="93">
        <f>$B$27</f>
        <v>46233</v>
      </c>
      <c r="B122" s="93" t="str">
        <f>$C$24</f>
        <v>146/VII</v>
      </c>
      <c r="C122" s="75">
        <v>1</v>
      </c>
      <c r="D122" s="75" t="str">
        <f>B33</f>
        <v>DEBDA0319-T1-BDP-BC.4</v>
      </c>
      <c r="E122" s="107">
        <f>D33</f>
        <v>264.72000000000003</v>
      </c>
      <c r="F122" s="43">
        <f>D45</f>
        <v>274.92</v>
      </c>
      <c r="G122" s="303">
        <f>SUM(E90:E91)</f>
        <v>0</v>
      </c>
      <c r="H122" s="303">
        <f>SUM(E83:E85)</f>
        <v>33.18</v>
      </c>
      <c r="I122" s="303">
        <f>C112</f>
        <v>4.62</v>
      </c>
      <c r="J122" s="42">
        <v>0</v>
      </c>
      <c r="K122" s="42">
        <f>F122+G122+H122+I122+J122</f>
        <v>312.72000000000003</v>
      </c>
      <c r="L122" s="42">
        <f>K122-E122</f>
        <v>48</v>
      </c>
      <c r="M122" s="34">
        <f>L122/E122</f>
        <v>0.18132366273798728</v>
      </c>
    </row>
    <row r="123" spans="1:33" s="38" customFormat="1" x14ac:dyDescent="0.3">
      <c r="A123" s="93">
        <f t="shared" ref="A123:A125" si="3">$B$27</f>
        <v>46233</v>
      </c>
      <c r="B123" s="93" t="str">
        <f t="shared" ref="B123:B125" si="4">$C$24</f>
        <v>146/VII</v>
      </c>
      <c r="C123" s="75">
        <v>1</v>
      </c>
      <c r="D123" s="75" t="str">
        <f t="shared" ref="D123:D125" si="5">B34</f>
        <v>DEBDA0319-T1-BC.5</v>
      </c>
      <c r="E123" s="107">
        <f t="shared" ref="E123:E125" si="6">D34</f>
        <v>487.5</v>
      </c>
      <c r="F123" s="43">
        <f>D51</f>
        <v>474</v>
      </c>
      <c r="G123" s="304"/>
      <c r="H123" s="304"/>
      <c r="I123" s="304"/>
      <c r="J123" s="42">
        <v>0</v>
      </c>
      <c r="K123" s="42">
        <f t="shared" ref="K123:K124" si="7">F123+G123+H123+I123+J123</f>
        <v>474</v>
      </c>
      <c r="L123" s="42">
        <f t="shared" ref="L123:L125" si="8">K123-E123</f>
        <v>-13.5</v>
      </c>
      <c r="M123" s="34">
        <f>L123/E123</f>
        <v>-2.7692307692307693E-2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s="38" customFormat="1" x14ac:dyDescent="0.3">
      <c r="A124" s="93">
        <f t="shared" si="3"/>
        <v>46233</v>
      </c>
      <c r="B124" s="93" t="str">
        <f t="shared" si="4"/>
        <v>146/VII</v>
      </c>
      <c r="C124" s="75">
        <v>1</v>
      </c>
      <c r="D124" s="75" t="str">
        <f t="shared" si="5"/>
        <v>DEBDA0319-T1-BC.6</v>
      </c>
      <c r="E124" s="107">
        <f t="shared" si="6"/>
        <v>487.5</v>
      </c>
      <c r="F124" s="43">
        <f>D57</f>
        <v>474</v>
      </c>
      <c r="G124" s="304"/>
      <c r="H124" s="304"/>
      <c r="I124" s="304"/>
      <c r="J124" s="42">
        <v>0</v>
      </c>
      <c r="K124" s="42">
        <f t="shared" si="7"/>
        <v>474</v>
      </c>
      <c r="L124" s="42">
        <f t="shared" si="8"/>
        <v>-13.5</v>
      </c>
      <c r="M124" s="34">
        <f>L124/E124</f>
        <v>-2.7692307692307693E-2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s="38" customFormat="1" x14ac:dyDescent="0.3">
      <c r="A125" s="93">
        <f t="shared" si="3"/>
        <v>46233</v>
      </c>
      <c r="B125" s="93" t="str">
        <f t="shared" si="4"/>
        <v>146/VII</v>
      </c>
      <c r="C125" s="75">
        <v>1</v>
      </c>
      <c r="D125" s="75" t="str">
        <f t="shared" si="5"/>
        <v>DEBDA0319-T1-BC.7</v>
      </c>
      <c r="E125" s="107">
        <f t="shared" si="6"/>
        <v>487.5</v>
      </c>
      <c r="F125" s="42">
        <f>D63</f>
        <v>474</v>
      </c>
      <c r="G125" s="305"/>
      <c r="H125" s="305"/>
      <c r="I125" s="305"/>
      <c r="J125" s="42">
        <f>C95</f>
        <v>0</v>
      </c>
      <c r="K125" s="42">
        <f>F125+G122+H122+I122+J125</f>
        <v>511.8</v>
      </c>
      <c r="L125" s="42">
        <f t="shared" si="8"/>
        <v>24.300000000000011</v>
      </c>
      <c r="M125" s="34">
        <f>L125/E125</f>
        <v>4.9846153846153866E-2</v>
      </c>
      <c r="N125" s="108" t="s">
        <v>152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s="3" customFormat="1" x14ac:dyDescent="0.35">
      <c r="G126" s="6"/>
      <c r="I126" s="6"/>
      <c r="K126" s="54"/>
    </row>
    <row r="127" spans="1:33" s="3" customFormat="1" x14ac:dyDescent="0.35">
      <c r="G127" s="35" t="s">
        <v>58</v>
      </c>
      <c r="H127" s="36" t="s">
        <v>59</v>
      </c>
      <c r="I127" s="6"/>
    </row>
    <row r="128" spans="1:33" s="3" customFormat="1" x14ac:dyDescent="0.35">
      <c r="G128" s="37" t="s">
        <v>60</v>
      </c>
      <c r="I128" s="6"/>
    </row>
    <row r="129" spans="1:25" s="3" customFormat="1" x14ac:dyDescent="0.35">
      <c r="G129" s="3" t="s">
        <v>61</v>
      </c>
      <c r="I129" s="6"/>
    </row>
    <row r="130" spans="1:25" s="3" customFormat="1" x14ac:dyDescent="0.35">
      <c r="G130" s="3" t="s">
        <v>62</v>
      </c>
      <c r="H130" s="4"/>
      <c r="I130" s="6"/>
    </row>
    <row r="132" spans="1:25" x14ac:dyDescent="0.35">
      <c r="A132" s="296" t="s">
        <v>154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</row>
    <row r="134" spans="1:25" s="3" customFormat="1" x14ac:dyDescent="0.35">
      <c r="B134" s="4"/>
      <c r="C134" s="4"/>
      <c r="D134" s="4"/>
      <c r="E134" s="4"/>
      <c r="G134" s="257" t="s">
        <v>68</v>
      </c>
      <c r="H134" s="257"/>
      <c r="I134" s="257"/>
      <c r="J134" s="257"/>
      <c r="K134" s="257"/>
      <c r="L134" s="257"/>
      <c r="M134" s="257"/>
      <c r="N134" s="257"/>
      <c r="P134" s="247" t="s">
        <v>69</v>
      </c>
      <c r="Q134" s="247"/>
      <c r="R134" s="247"/>
      <c r="S134" s="247"/>
      <c r="T134" s="247"/>
      <c r="U134" s="247"/>
      <c r="V134" s="247"/>
      <c r="W134" s="247"/>
    </row>
    <row r="135" spans="1:25" s="3" customFormat="1" ht="65" x14ac:dyDescent="0.35">
      <c r="A135" s="8" t="s">
        <v>33</v>
      </c>
      <c r="B135" s="8" t="s">
        <v>70</v>
      </c>
      <c r="C135" s="8" t="s">
        <v>71</v>
      </c>
      <c r="D135" s="8" t="s">
        <v>72</v>
      </c>
      <c r="E135" s="8" t="s">
        <v>34</v>
      </c>
      <c r="F135" s="47" t="s">
        <v>73</v>
      </c>
      <c r="G135" s="8" t="s">
        <v>74</v>
      </c>
      <c r="H135" s="10" t="s">
        <v>156</v>
      </c>
      <c r="I135" s="10" t="s">
        <v>75</v>
      </c>
      <c r="J135" s="10" t="s">
        <v>76</v>
      </c>
      <c r="K135" s="10" t="s">
        <v>158</v>
      </c>
      <c r="L135" s="48" t="s">
        <v>78</v>
      </c>
      <c r="M135" s="48" t="s">
        <v>79</v>
      </c>
      <c r="N135" s="48" t="s">
        <v>80</v>
      </c>
      <c r="O135" s="48" t="s">
        <v>81</v>
      </c>
      <c r="P135" s="48" t="s">
        <v>82</v>
      </c>
      <c r="Q135" s="10" t="s">
        <v>157</v>
      </c>
      <c r="R135" s="10" t="s">
        <v>83</v>
      </c>
      <c r="S135" s="10" t="s">
        <v>84</v>
      </c>
      <c r="T135" s="10" t="s">
        <v>85</v>
      </c>
      <c r="U135" s="48" t="s">
        <v>86</v>
      </c>
      <c r="V135" s="48" t="s">
        <v>87</v>
      </c>
      <c r="W135" s="48" t="s">
        <v>88</v>
      </c>
    </row>
    <row r="136" spans="1:25" s="3" customFormat="1" x14ac:dyDescent="0.35">
      <c r="A136" s="43">
        <v>1</v>
      </c>
      <c r="B136" s="109" t="str">
        <f>C40</f>
        <v>Canal C75.75 PRE B</v>
      </c>
      <c r="C136" s="44">
        <f>B117</f>
        <v>1696.92</v>
      </c>
      <c r="D136" s="49">
        <f>E45</f>
        <v>4.74</v>
      </c>
      <c r="E136" s="43">
        <v>6</v>
      </c>
      <c r="F136" s="50">
        <v>11805</v>
      </c>
      <c r="G136" s="50">
        <f>F136*D136</f>
        <v>55955.700000000004</v>
      </c>
      <c r="H136" s="49">
        <f>400*D136</f>
        <v>1896</v>
      </c>
      <c r="I136" s="50">
        <f>300*D136</f>
        <v>1422</v>
      </c>
      <c r="J136" s="49">
        <f>500*D136</f>
        <v>2370</v>
      </c>
      <c r="K136" s="49">
        <f>150*D136</f>
        <v>711</v>
      </c>
      <c r="L136" s="50">
        <f>200*D136</f>
        <v>948</v>
      </c>
      <c r="M136" s="49">
        <f>2%*G136</f>
        <v>1119.114</v>
      </c>
      <c r="N136" s="51">
        <f>SUM(G136:M136)</f>
        <v>64421.814000000006</v>
      </c>
      <c r="O136" s="110">
        <f>SUM(C45,C51,C57,C63)</f>
        <v>358</v>
      </c>
      <c r="P136" s="49">
        <f>$O136*G136</f>
        <v>20032140.600000001</v>
      </c>
      <c r="Q136" s="49">
        <f t="shared" ref="Q136:V136" si="9">$O136*H136</f>
        <v>678768</v>
      </c>
      <c r="R136" s="49">
        <f t="shared" si="9"/>
        <v>509076</v>
      </c>
      <c r="S136" s="49">
        <f t="shared" si="9"/>
        <v>848460</v>
      </c>
      <c r="T136" s="49">
        <f t="shared" si="9"/>
        <v>254538</v>
      </c>
      <c r="U136" s="49">
        <f t="shared" si="9"/>
        <v>339384</v>
      </c>
      <c r="V136" s="49">
        <f t="shared" si="9"/>
        <v>400642.81200000003</v>
      </c>
      <c r="W136" s="51">
        <f>O136*N136</f>
        <v>23063009.412</v>
      </c>
      <c r="X136" s="54"/>
    </row>
    <row r="137" spans="1:25" s="3" customFormat="1" x14ac:dyDescent="0.35">
      <c r="A137" s="43"/>
      <c r="B137" s="109"/>
      <c r="C137" s="43"/>
      <c r="D137" s="49"/>
      <c r="E137" s="43"/>
      <c r="F137" s="52"/>
      <c r="G137" s="50">
        <f t="shared" ref="G137" si="10">F137*D137</f>
        <v>0</v>
      </c>
      <c r="H137" s="49">
        <f t="shared" ref="H137" si="11">400*D137</f>
        <v>0</v>
      </c>
      <c r="I137" s="50">
        <f t="shared" ref="I137" si="12">300*D137</f>
        <v>0</v>
      </c>
      <c r="J137" s="49">
        <f>500*D137</f>
        <v>0</v>
      </c>
      <c r="K137" s="49">
        <f t="shared" ref="K137" si="13">200*D137</f>
        <v>0</v>
      </c>
      <c r="L137" s="50">
        <f>200*D137</f>
        <v>0</v>
      </c>
      <c r="M137" s="49">
        <f>2%*G137</f>
        <v>0</v>
      </c>
      <c r="N137" s="51">
        <f>SUM(G137:M137)</f>
        <v>0</v>
      </c>
      <c r="O137" s="43"/>
      <c r="P137" s="49"/>
      <c r="Q137" s="49"/>
      <c r="R137" s="49"/>
      <c r="S137" s="49"/>
      <c r="T137" s="49"/>
      <c r="U137" s="49"/>
      <c r="V137" s="49"/>
      <c r="W137" s="51"/>
    </row>
    <row r="138" spans="1:25" s="3" customFormat="1" x14ac:dyDescent="0.35">
      <c r="A138" s="13"/>
      <c r="B138" s="53"/>
      <c r="C138" s="12">
        <f>SUM(C136:C137)</f>
        <v>1696.92</v>
      </c>
      <c r="D138" s="54"/>
      <c r="E138" s="13"/>
      <c r="F138" s="6"/>
      <c r="G138" s="6"/>
      <c r="H138" s="54"/>
      <c r="I138" s="6"/>
      <c r="L138" s="6"/>
      <c r="M138" s="54"/>
      <c r="N138" s="54"/>
      <c r="P138" s="55">
        <f t="shared" ref="P138:V138" si="14">SUM(P136:P137)</f>
        <v>20032140.600000001</v>
      </c>
      <c r="Q138" s="55">
        <f t="shared" si="14"/>
        <v>678768</v>
      </c>
      <c r="R138" s="55">
        <f t="shared" si="14"/>
        <v>509076</v>
      </c>
      <c r="S138" s="55">
        <f t="shared" si="14"/>
        <v>848460</v>
      </c>
      <c r="T138" s="55">
        <f t="shared" si="14"/>
        <v>254538</v>
      </c>
      <c r="U138" s="55">
        <f t="shared" si="14"/>
        <v>339384</v>
      </c>
      <c r="V138" s="55">
        <f t="shared" si="14"/>
        <v>400642.81200000003</v>
      </c>
    </row>
    <row r="139" spans="1:25" s="3" customFormat="1" x14ac:dyDescent="0.35">
      <c r="A139" s="13"/>
      <c r="B139" s="53"/>
      <c r="C139" s="12"/>
      <c r="D139" s="54"/>
      <c r="E139" s="13"/>
      <c r="F139" s="6"/>
      <c r="G139" s="6"/>
      <c r="H139" s="54"/>
      <c r="I139" s="6"/>
      <c r="J139" s="54"/>
      <c r="K139" s="54"/>
      <c r="N139" s="55"/>
      <c r="O139" s="55"/>
      <c r="P139" s="55"/>
    </row>
    <row r="140" spans="1:25" s="3" customFormat="1" x14ac:dyDescent="0.35">
      <c r="A140" s="45" t="s">
        <v>89</v>
      </c>
      <c r="B140" s="53"/>
      <c r="C140" s="13"/>
      <c r="D140" s="54"/>
      <c r="E140" s="13"/>
      <c r="F140" s="56"/>
      <c r="G140" s="6"/>
      <c r="I140" s="6"/>
      <c r="K140" s="6"/>
    </row>
    <row r="141" spans="1:25" s="3" customFormat="1" x14ac:dyDescent="0.35">
      <c r="A141" s="45" t="s">
        <v>90</v>
      </c>
      <c r="B141" s="53"/>
      <c r="C141" s="13"/>
      <c r="D141" s="54"/>
      <c r="E141" s="13"/>
      <c r="F141" s="6"/>
      <c r="G141" s="297" t="s">
        <v>68</v>
      </c>
      <c r="H141" s="298"/>
      <c r="I141" s="298"/>
      <c r="J141" s="298"/>
      <c r="K141" s="298"/>
      <c r="L141" s="298"/>
      <c r="M141" s="298"/>
      <c r="N141" s="299"/>
      <c r="P141" s="300" t="s">
        <v>170</v>
      </c>
      <c r="Q141" s="301"/>
      <c r="R141" s="301"/>
      <c r="S141" s="301"/>
      <c r="T141" s="301"/>
      <c r="U141" s="301"/>
      <c r="V141" s="301"/>
      <c r="W141" s="302"/>
    </row>
    <row r="142" spans="1:25" s="3" customFormat="1" ht="65" x14ac:dyDescent="0.35">
      <c r="A142" s="8" t="s">
        <v>33</v>
      </c>
      <c r="B142" s="8" t="s">
        <v>70</v>
      </c>
      <c r="C142" s="8" t="s">
        <v>71</v>
      </c>
      <c r="D142" s="8" t="s">
        <v>72</v>
      </c>
      <c r="E142" s="8" t="s">
        <v>34</v>
      </c>
      <c r="F142" s="47" t="s">
        <v>73</v>
      </c>
      <c r="G142" s="8" t="s">
        <v>74</v>
      </c>
      <c r="H142" s="10" t="s">
        <v>159</v>
      </c>
      <c r="I142" s="10" t="s">
        <v>75</v>
      </c>
      <c r="J142" s="10" t="s">
        <v>76</v>
      </c>
      <c r="K142" s="10" t="s">
        <v>77</v>
      </c>
      <c r="L142" s="48" t="s">
        <v>78</v>
      </c>
      <c r="M142" s="48" t="s">
        <v>79</v>
      </c>
      <c r="N142" s="48" t="s">
        <v>80</v>
      </c>
      <c r="O142" s="57" t="s">
        <v>91</v>
      </c>
      <c r="P142" s="48" t="s">
        <v>82</v>
      </c>
      <c r="Q142" s="10" t="s">
        <v>157</v>
      </c>
      <c r="R142" s="10" t="s">
        <v>83</v>
      </c>
      <c r="S142" s="10" t="s">
        <v>92</v>
      </c>
      <c r="T142" s="10" t="s">
        <v>85</v>
      </c>
      <c r="U142" s="48" t="s">
        <v>86</v>
      </c>
      <c r="V142" s="48" t="s">
        <v>87</v>
      </c>
      <c r="W142" s="48" t="s">
        <v>88</v>
      </c>
      <c r="X142" s="48" t="s">
        <v>171</v>
      </c>
      <c r="Y142" s="48" t="s">
        <v>312</v>
      </c>
    </row>
    <row r="143" spans="1:25" s="3" customFormat="1" ht="26" x14ac:dyDescent="0.35">
      <c r="A143" s="43">
        <v>1</v>
      </c>
      <c r="B143" s="58" t="str">
        <f>G83</f>
        <v>Canal C75.75 PRE B-KW 2- 01</v>
      </c>
      <c r="C143" s="130">
        <f>E83</f>
        <v>18.96</v>
      </c>
      <c r="D143" s="49">
        <f>F83</f>
        <v>2.37</v>
      </c>
      <c r="E143" s="43" t="str">
        <f>C83</f>
        <v>3 Mtr</v>
      </c>
      <c r="F143" s="50">
        <v>11805</v>
      </c>
      <c r="G143" s="50">
        <f>F143*D143</f>
        <v>27977.850000000002</v>
      </c>
      <c r="H143" s="49">
        <f>400*D143</f>
        <v>948</v>
      </c>
      <c r="I143" s="50">
        <f>300*D143</f>
        <v>711</v>
      </c>
      <c r="J143" s="49">
        <f>500*D143</f>
        <v>1185</v>
      </c>
      <c r="K143" s="49">
        <f>200*D143</f>
        <v>474</v>
      </c>
      <c r="L143" s="50">
        <f>200*D143</f>
        <v>474</v>
      </c>
      <c r="M143" s="49">
        <f>2%*G143</f>
        <v>559.55700000000002</v>
      </c>
      <c r="N143" s="51">
        <f>SUM(G143:M143)</f>
        <v>32329.407000000003</v>
      </c>
      <c r="O143" s="131">
        <f>D83</f>
        <v>8</v>
      </c>
      <c r="P143" s="49">
        <f>G143*$O143</f>
        <v>223822.80000000002</v>
      </c>
      <c r="Q143" s="49">
        <f t="shared" ref="Q143:V145" si="15">H143*$O143</f>
        <v>7584</v>
      </c>
      <c r="R143" s="49">
        <f t="shared" si="15"/>
        <v>5688</v>
      </c>
      <c r="S143" s="49">
        <f t="shared" si="15"/>
        <v>9480</v>
      </c>
      <c r="T143" s="49">
        <f t="shared" si="15"/>
        <v>3792</v>
      </c>
      <c r="U143" s="49">
        <f t="shared" si="15"/>
        <v>3792</v>
      </c>
      <c r="V143" s="49">
        <f t="shared" si="15"/>
        <v>4476.4560000000001</v>
      </c>
      <c r="W143" s="51">
        <f>SUM(P143:V143)</f>
        <v>258635.25600000002</v>
      </c>
      <c r="X143" s="51">
        <f>W143*80%</f>
        <v>206908.20480000004</v>
      </c>
      <c r="Y143" s="51">
        <f>W143*20%</f>
        <v>51727.051200000009</v>
      </c>
    </row>
    <row r="144" spans="1:25" s="3" customFormat="1" ht="26" x14ac:dyDescent="0.35">
      <c r="A144" s="43">
        <v>2</v>
      </c>
      <c r="B144" s="58" t="str">
        <f t="shared" ref="B144:B145" si="16">G84</f>
        <v>Canal C75.75 PRE B-KW 2- 02</v>
      </c>
      <c r="C144" s="130">
        <f t="shared" ref="C144:D144" si="17">E84</f>
        <v>6.32</v>
      </c>
      <c r="D144" s="49">
        <f t="shared" si="17"/>
        <v>3.16</v>
      </c>
      <c r="E144" s="43" t="str">
        <f t="shared" ref="E144:E145" si="18">C84</f>
        <v>4 Mtr</v>
      </c>
      <c r="F144" s="50">
        <v>11805</v>
      </c>
      <c r="G144" s="50">
        <f t="shared" ref="G144:G145" si="19">F144*D144</f>
        <v>37303.800000000003</v>
      </c>
      <c r="H144" s="49">
        <f t="shared" ref="H144:H145" si="20">400*D144</f>
        <v>1264</v>
      </c>
      <c r="I144" s="50">
        <f t="shared" ref="I144:I145" si="21">300*D144</f>
        <v>948</v>
      </c>
      <c r="J144" s="49">
        <f t="shared" ref="J144:J145" si="22">500*D144</f>
        <v>1580</v>
      </c>
      <c r="K144" s="49">
        <f t="shared" ref="K144:K145" si="23">200*D144</f>
        <v>632</v>
      </c>
      <c r="L144" s="50">
        <f t="shared" ref="L144:L145" si="24">200*D144</f>
        <v>632</v>
      </c>
      <c r="M144" s="49">
        <f t="shared" ref="M144:M145" si="25">2%*G144</f>
        <v>746.07600000000002</v>
      </c>
      <c r="N144" s="51">
        <f t="shared" ref="N144:N145" si="26">SUM(G144:M144)</f>
        <v>43105.876000000004</v>
      </c>
      <c r="O144" s="131">
        <f t="shared" ref="O144:O145" si="27">D84</f>
        <v>2</v>
      </c>
      <c r="P144" s="49">
        <f t="shared" ref="P144:P145" si="28">G144*$O144</f>
        <v>74607.600000000006</v>
      </c>
      <c r="Q144" s="49">
        <f t="shared" si="15"/>
        <v>2528</v>
      </c>
      <c r="R144" s="49">
        <f t="shared" si="15"/>
        <v>1896</v>
      </c>
      <c r="S144" s="49">
        <f t="shared" si="15"/>
        <v>3160</v>
      </c>
      <c r="T144" s="49">
        <f t="shared" si="15"/>
        <v>1264</v>
      </c>
      <c r="U144" s="49">
        <f t="shared" si="15"/>
        <v>1264</v>
      </c>
      <c r="V144" s="49">
        <f t="shared" si="15"/>
        <v>1492.152</v>
      </c>
      <c r="W144" s="51">
        <f t="shared" ref="W144:W145" si="29">SUM(P144:V144)</f>
        <v>86211.752000000008</v>
      </c>
      <c r="X144" s="51">
        <f t="shared" ref="X144:X145" si="30">W144*80%</f>
        <v>68969.401600000012</v>
      </c>
      <c r="Y144" s="51">
        <f t="shared" ref="Y144:Y145" si="31">W144*20%</f>
        <v>17242.350400000003</v>
      </c>
    </row>
    <row r="145" spans="1:25" s="3" customFormat="1" ht="26" x14ac:dyDescent="0.35">
      <c r="A145" s="43">
        <v>3</v>
      </c>
      <c r="B145" s="58" t="str">
        <f t="shared" si="16"/>
        <v>Canal C75.75 PRE B-KW 2- 03</v>
      </c>
      <c r="C145" s="130">
        <f t="shared" ref="C145:D145" si="32">E85</f>
        <v>7.9</v>
      </c>
      <c r="D145" s="49">
        <f t="shared" si="32"/>
        <v>3.95</v>
      </c>
      <c r="E145" s="43" t="str">
        <f t="shared" si="18"/>
        <v>5 Mtr</v>
      </c>
      <c r="F145" s="50">
        <v>11805</v>
      </c>
      <c r="G145" s="50">
        <f t="shared" si="19"/>
        <v>46629.75</v>
      </c>
      <c r="H145" s="49">
        <f t="shared" si="20"/>
        <v>1580</v>
      </c>
      <c r="I145" s="50">
        <f t="shared" si="21"/>
        <v>1185</v>
      </c>
      <c r="J145" s="49">
        <f t="shared" si="22"/>
        <v>1975</v>
      </c>
      <c r="K145" s="49">
        <f t="shared" si="23"/>
        <v>790</v>
      </c>
      <c r="L145" s="50">
        <f t="shared" si="24"/>
        <v>790</v>
      </c>
      <c r="M145" s="49">
        <f t="shared" si="25"/>
        <v>932.59500000000003</v>
      </c>
      <c r="N145" s="51">
        <f t="shared" si="26"/>
        <v>53882.345000000001</v>
      </c>
      <c r="O145" s="131">
        <f t="shared" si="27"/>
        <v>2</v>
      </c>
      <c r="P145" s="49">
        <f t="shared" si="28"/>
        <v>93259.5</v>
      </c>
      <c r="Q145" s="49">
        <f t="shared" si="15"/>
        <v>3160</v>
      </c>
      <c r="R145" s="49">
        <f t="shared" si="15"/>
        <v>2370</v>
      </c>
      <c r="S145" s="49">
        <f t="shared" si="15"/>
        <v>3950</v>
      </c>
      <c r="T145" s="49">
        <f t="shared" si="15"/>
        <v>1580</v>
      </c>
      <c r="U145" s="49">
        <f t="shared" si="15"/>
        <v>1580</v>
      </c>
      <c r="V145" s="49">
        <f t="shared" si="15"/>
        <v>1865.19</v>
      </c>
      <c r="W145" s="51">
        <f t="shared" si="29"/>
        <v>107764.69</v>
      </c>
      <c r="X145" s="51">
        <f t="shared" si="30"/>
        <v>86211.752000000008</v>
      </c>
      <c r="Y145" s="51">
        <f t="shared" si="31"/>
        <v>21552.938000000002</v>
      </c>
    </row>
    <row r="146" spans="1:25" s="3" customFormat="1" x14ac:dyDescent="0.35">
      <c r="A146" s="13"/>
      <c r="B146" s="59"/>
      <c r="C146" s="12">
        <f>SUM(C143)</f>
        <v>18.96</v>
      </c>
      <c r="D146" s="54"/>
      <c r="E146" s="13"/>
      <c r="F146" s="60"/>
      <c r="G146" s="60"/>
      <c r="H146" s="55"/>
      <c r="I146" s="60"/>
      <c r="J146" s="54"/>
      <c r="K146" s="54"/>
      <c r="P146" s="55">
        <f>SUM(P143:P145)</f>
        <v>391689.9</v>
      </c>
      <c r="Q146" s="55">
        <f t="shared" ref="Q146:W146" si="33">SUM(Q143:Q145)</f>
        <v>13272</v>
      </c>
      <c r="R146" s="55">
        <f t="shared" si="33"/>
        <v>9954</v>
      </c>
      <c r="S146" s="55">
        <f t="shared" si="33"/>
        <v>16590</v>
      </c>
      <c r="T146" s="55">
        <f t="shared" si="33"/>
        <v>6636</v>
      </c>
      <c r="U146" s="55">
        <f t="shared" si="33"/>
        <v>6636</v>
      </c>
      <c r="V146" s="55">
        <f t="shared" si="33"/>
        <v>7833.7980000000007</v>
      </c>
      <c r="W146" s="55">
        <f t="shared" si="33"/>
        <v>452611.69800000003</v>
      </c>
      <c r="X146" s="55">
        <f t="shared" ref="X146" si="34">SUM(X143:X145)</f>
        <v>362089.35840000003</v>
      </c>
      <c r="Y146" s="55">
        <f t="shared" ref="Y146" si="35">SUM(Y143:Y145)</f>
        <v>90522.339600000007</v>
      </c>
    </row>
    <row r="147" spans="1:25" s="3" customFormat="1" x14ac:dyDescent="0.35">
      <c r="A147" s="13"/>
      <c r="B147" s="59"/>
      <c r="C147" s="12"/>
      <c r="D147" s="54"/>
      <c r="E147" s="13"/>
      <c r="F147" s="60"/>
      <c r="G147" s="60"/>
      <c r="H147" s="55"/>
      <c r="I147" s="60"/>
      <c r="J147" s="54"/>
      <c r="K147" s="54"/>
    </row>
    <row r="148" spans="1:25" s="3" customFormat="1" x14ac:dyDescent="0.35">
      <c r="A148" s="13"/>
      <c r="B148" s="53"/>
      <c r="D148" s="54"/>
      <c r="E148" s="13"/>
      <c r="F148" s="6"/>
      <c r="G148" s="6"/>
      <c r="H148" s="54"/>
      <c r="I148" s="6"/>
      <c r="J148" s="54"/>
      <c r="K148" s="54"/>
    </row>
    <row r="149" spans="1:25" s="3" customFormat="1" x14ac:dyDescent="0.35">
      <c r="A149" s="45" t="s">
        <v>93</v>
      </c>
      <c r="B149" s="53"/>
      <c r="C149" s="13"/>
      <c r="D149" s="54"/>
      <c r="E149" s="13"/>
      <c r="F149" s="6"/>
      <c r="G149" s="297" t="s">
        <v>68</v>
      </c>
      <c r="H149" s="298"/>
      <c r="I149" s="298"/>
      <c r="J149" s="298"/>
      <c r="K149" s="298"/>
      <c r="L149" s="298"/>
      <c r="M149" s="298"/>
      <c r="N149" s="299"/>
      <c r="P149" s="300" t="s">
        <v>170</v>
      </c>
      <c r="Q149" s="301"/>
      <c r="R149" s="301"/>
      <c r="S149" s="301"/>
      <c r="T149" s="301"/>
      <c r="U149" s="301"/>
      <c r="V149" s="301"/>
      <c r="W149" s="302"/>
    </row>
    <row r="150" spans="1:25" s="3" customFormat="1" ht="65" x14ac:dyDescent="0.35">
      <c r="A150" s="8" t="s">
        <v>33</v>
      </c>
      <c r="B150" s="8" t="s">
        <v>70</v>
      </c>
      <c r="C150" s="8" t="s">
        <v>71</v>
      </c>
      <c r="D150" s="8" t="s">
        <v>72</v>
      </c>
      <c r="E150" s="8" t="s">
        <v>34</v>
      </c>
      <c r="F150" s="47" t="s">
        <v>73</v>
      </c>
      <c r="G150" s="8" t="s">
        <v>74</v>
      </c>
      <c r="H150" s="10" t="s">
        <v>159</v>
      </c>
      <c r="I150" s="10" t="s">
        <v>75</v>
      </c>
      <c r="J150" s="10" t="s">
        <v>76</v>
      </c>
      <c r="K150" s="10" t="s">
        <v>77</v>
      </c>
      <c r="L150" s="48" t="s">
        <v>78</v>
      </c>
      <c r="M150" s="48" t="s">
        <v>79</v>
      </c>
      <c r="N150" s="48" t="s">
        <v>80</v>
      </c>
      <c r="O150" s="57" t="s">
        <v>91</v>
      </c>
      <c r="P150" s="48" t="s">
        <v>82</v>
      </c>
      <c r="Q150" s="10" t="s">
        <v>157</v>
      </c>
      <c r="R150" s="10" t="s">
        <v>83</v>
      </c>
      <c r="S150" s="10" t="s">
        <v>92</v>
      </c>
      <c r="T150" s="10" t="s">
        <v>85</v>
      </c>
      <c r="U150" s="48" t="s">
        <v>86</v>
      </c>
      <c r="V150" s="48" t="s">
        <v>87</v>
      </c>
      <c r="W150" s="48" t="s">
        <v>88</v>
      </c>
      <c r="X150" s="48" t="s">
        <v>171</v>
      </c>
      <c r="Y150" s="48" t="s">
        <v>312</v>
      </c>
    </row>
    <row r="151" spans="1:25" s="3" customFormat="1" x14ac:dyDescent="0.35">
      <c r="A151" s="43">
        <v>1</v>
      </c>
      <c r="B151" s="58">
        <f>G90</f>
        <v>0</v>
      </c>
      <c r="C151" s="130">
        <f>E90</f>
        <v>0</v>
      </c>
      <c r="D151" s="49">
        <f>F90</f>
        <v>0</v>
      </c>
      <c r="E151" s="43">
        <f>C90</f>
        <v>0</v>
      </c>
      <c r="F151" s="50">
        <v>11805</v>
      </c>
      <c r="G151" s="50">
        <f>F151*D151</f>
        <v>0</v>
      </c>
      <c r="H151" s="49">
        <f>400*D151</f>
        <v>0</v>
      </c>
      <c r="I151" s="50">
        <f>300*D151</f>
        <v>0</v>
      </c>
      <c r="J151" s="49">
        <f>500*D151</f>
        <v>0</v>
      </c>
      <c r="K151" s="49">
        <f>200*D151</f>
        <v>0</v>
      </c>
      <c r="L151" s="50">
        <f>200*D151</f>
        <v>0</v>
      </c>
      <c r="M151" s="49">
        <f>2%*G151</f>
        <v>0</v>
      </c>
      <c r="N151" s="51">
        <f>SUM(G151:M151)</f>
        <v>0</v>
      </c>
      <c r="O151" s="131">
        <f>D91</f>
        <v>0</v>
      </c>
      <c r="P151" s="49">
        <f>G151*$O151</f>
        <v>0</v>
      </c>
      <c r="Q151" s="49">
        <f t="shared" ref="Q151" si="36">H151*$O151</f>
        <v>0</v>
      </c>
      <c r="R151" s="49">
        <f t="shared" ref="R151" si="37">I151*$O151</f>
        <v>0</v>
      </c>
      <c r="S151" s="49">
        <f t="shared" ref="S151" si="38">J151*$O151</f>
        <v>0</v>
      </c>
      <c r="T151" s="49">
        <f t="shared" ref="T151" si="39">K151*$O151</f>
        <v>0</v>
      </c>
      <c r="U151" s="49">
        <f t="shared" ref="U151" si="40">L151*$O151</f>
        <v>0</v>
      </c>
      <c r="V151" s="49">
        <f t="shared" ref="V151" si="41">M151*$O151</f>
        <v>0</v>
      </c>
      <c r="W151" s="51">
        <f>SUM(P151:V151)</f>
        <v>0</v>
      </c>
      <c r="X151" s="51">
        <f>W151*80%</f>
        <v>0</v>
      </c>
      <c r="Y151" s="51">
        <f>W151*20%</f>
        <v>0</v>
      </c>
    </row>
    <row r="152" spans="1:25" s="3" customFormat="1" x14ac:dyDescent="0.35">
      <c r="A152" s="13"/>
      <c r="B152" s="59"/>
      <c r="C152" s="12">
        <f>SUM(C151)</f>
        <v>0</v>
      </c>
      <c r="D152" s="54"/>
      <c r="E152" s="13"/>
      <c r="F152" s="60"/>
      <c r="G152" s="60"/>
      <c r="H152" s="55"/>
      <c r="I152" s="60"/>
      <c r="J152" s="54"/>
      <c r="K152" s="54"/>
      <c r="P152" s="55">
        <f>SUM(P151)</f>
        <v>0</v>
      </c>
      <c r="Q152" s="55">
        <f t="shared" ref="Q152:Y152" si="42">SUM(Q151)</f>
        <v>0</v>
      </c>
      <c r="R152" s="55">
        <f t="shared" si="42"/>
        <v>0</v>
      </c>
      <c r="S152" s="55">
        <f t="shared" si="42"/>
        <v>0</v>
      </c>
      <c r="T152" s="55">
        <f t="shared" si="42"/>
        <v>0</v>
      </c>
      <c r="U152" s="55">
        <f t="shared" si="42"/>
        <v>0</v>
      </c>
      <c r="V152" s="55">
        <f t="shared" si="42"/>
        <v>0</v>
      </c>
      <c r="W152" s="55">
        <f t="shared" si="42"/>
        <v>0</v>
      </c>
      <c r="X152" s="55">
        <f t="shared" si="42"/>
        <v>0</v>
      </c>
      <c r="Y152" s="55">
        <f t="shared" si="42"/>
        <v>0</v>
      </c>
    </row>
    <row r="153" spans="1:25" s="3" customFormat="1" x14ac:dyDescent="0.35">
      <c r="A153" s="13"/>
      <c r="B153" s="53"/>
      <c r="C153" s="13"/>
      <c r="D153" s="54"/>
      <c r="E153" s="13"/>
      <c r="F153" s="6"/>
      <c r="G153" s="6"/>
      <c r="H153" s="54"/>
      <c r="I153" s="6"/>
      <c r="J153" s="54"/>
      <c r="K153" s="54"/>
    </row>
    <row r="154" spans="1:25" s="3" customFormat="1" x14ac:dyDescent="0.35">
      <c r="A154" s="45" t="s">
        <v>161</v>
      </c>
      <c r="B154" s="53"/>
      <c r="C154" s="13"/>
      <c r="D154" s="54"/>
      <c r="E154" s="13"/>
      <c r="F154" s="6"/>
      <c r="G154" s="6"/>
      <c r="H154" s="54"/>
      <c r="I154" s="6"/>
      <c r="J154" s="54"/>
      <c r="K154" s="54"/>
    </row>
    <row r="155" spans="1:25" s="3" customFormat="1" x14ac:dyDescent="0.35">
      <c r="B155" s="18"/>
      <c r="C155" s="18"/>
      <c r="D155" s="18"/>
      <c r="E155" s="18"/>
      <c r="F155" s="18"/>
      <c r="G155" s="18"/>
      <c r="H155" s="18"/>
      <c r="I155" s="5"/>
      <c r="J155" s="4"/>
      <c r="K155" s="4"/>
      <c r="L155" s="4"/>
    </row>
    <row r="156" spans="1:25" s="3" customFormat="1" ht="39" x14ac:dyDescent="0.35">
      <c r="B156" s="8" t="s">
        <v>33</v>
      </c>
      <c r="C156" s="8" t="s">
        <v>94</v>
      </c>
      <c r="D156" s="8" t="s">
        <v>95</v>
      </c>
      <c r="E156" s="61" t="s">
        <v>96</v>
      </c>
      <c r="F156" s="10" t="s">
        <v>321</v>
      </c>
      <c r="G156" s="10" t="s">
        <v>322</v>
      </c>
      <c r="I156" s="6"/>
    </row>
    <row r="157" spans="1:25" s="3" customFormat="1" x14ac:dyDescent="0.35">
      <c r="B157" s="43">
        <v>1</v>
      </c>
      <c r="C157" s="46" t="s">
        <v>172</v>
      </c>
      <c r="D157" s="62">
        <f>C109</f>
        <v>0</v>
      </c>
      <c r="E157" s="50">
        <v>11805</v>
      </c>
      <c r="F157" s="63">
        <f>D157*E157*40%</f>
        <v>0</v>
      </c>
      <c r="G157" s="63">
        <f>D157*E157*60%</f>
        <v>0</v>
      </c>
      <c r="H157" s="4"/>
      <c r="I157" s="5"/>
      <c r="J157" s="4"/>
      <c r="K157" s="4"/>
      <c r="L157" s="4"/>
    </row>
    <row r="158" spans="1:25" s="3" customFormat="1" x14ac:dyDescent="0.35">
      <c r="B158" s="43">
        <v>2</v>
      </c>
      <c r="C158" s="46" t="s">
        <v>173</v>
      </c>
      <c r="D158" s="62">
        <f>D109</f>
        <v>4.62</v>
      </c>
      <c r="E158" s="50">
        <v>11805</v>
      </c>
      <c r="F158" s="63">
        <f t="shared" ref="F158:F163" si="43">D158*E158*40%</f>
        <v>21815.64</v>
      </c>
      <c r="G158" s="63">
        <f t="shared" ref="G158:G163" si="44">D158*E158*60%</f>
        <v>32723.46</v>
      </c>
      <c r="H158" s="4"/>
      <c r="I158" s="5"/>
      <c r="J158" s="4"/>
      <c r="K158" s="4"/>
      <c r="L158" s="4"/>
    </row>
    <row r="159" spans="1:25" s="3" customFormat="1" x14ac:dyDescent="0.35">
      <c r="B159" s="43">
        <v>3</v>
      </c>
      <c r="C159" s="46" t="s">
        <v>174</v>
      </c>
      <c r="D159" s="62">
        <f>C110</f>
        <v>0</v>
      </c>
      <c r="E159" s="50">
        <v>11805</v>
      </c>
      <c r="F159" s="63">
        <f t="shared" si="43"/>
        <v>0</v>
      </c>
      <c r="G159" s="63">
        <f t="shared" si="44"/>
        <v>0</v>
      </c>
      <c r="H159" s="4"/>
      <c r="I159" s="5"/>
      <c r="J159" s="4"/>
      <c r="K159" s="4"/>
      <c r="L159" s="4"/>
    </row>
    <row r="160" spans="1:25" s="3" customFormat="1" x14ac:dyDescent="0.35">
      <c r="B160" s="43">
        <v>4</v>
      </c>
      <c r="C160" s="46" t="s">
        <v>175</v>
      </c>
      <c r="D160" s="62">
        <f>D110</f>
        <v>0</v>
      </c>
      <c r="E160" s="50">
        <v>11805</v>
      </c>
      <c r="F160" s="63">
        <f t="shared" si="43"/>
        <v>0</v>
      </c>
      <c r="G160" s="63">
        <f t="shared" si="44"/>
        <v>0</v>
      </c>
      <c r="H160" s="4"/>
      <c r="I160" s="5"/>
      <c r="J160" s="4"/>
      <c r="K160" s="4"/>
      <c r="L160" s="4"/>
    </row>
    <row r="161" spans="1:12" s="3" customFormat="1" x14ac:dyDescent="0.35">
      <c r="B161" s="43">
        <v>5</v>
      </c>
      <c r="C161" s="46" t="s">
        <v>51</v>
      </c>
      <c r="D161" s="62">
        <f>C105</f>
        <v>0</v>
      </c>
      <c r="E161" s="50">
        <v>11805</v>
      </c>
      <c r="F161" s="63">
        <f t="shared" si="43"/>
        <v>0</v>
      </c>
      <c r="G161" s="63">
        <f t="shared" si="44"/>
        <v>0</v>
      </c>
      <c r="H161" s="4"/>
      <c r="I161" s="5"/>
      <c r="J161" s="4"/>
      <c r="K161" s="4"/>
      <c r="L161" s="4"/>
    </row>
    <row r="162" spans="1:12" s="3" customFormat="1" x14ac:dyDescent="0.35">
      <c r="B162" s="43">
        <v>6</v>
      </c>
      <c r="C162" s="46" t="s">
        <v>52</v>
      </c>
      <c r="D162" s="62">
        <f>D105</f>
        <v>0</v>
      </c>
      <c r="E162" s="50">
        <v>11805</v>
      </c>
      <c r="F162" s="63">
        <f t="shared" si="43"/>
        <v>0</v>
      </c>
      <c r="G162" s="63">
        <f t="shared" si="44"/>
        <v>0</v>
      </c>
      <c r="H162" s="4"/>
      <c r="I162" s="5"/>
      <c r="J162" s="4"/>
      <c r="K162" s="4"/>
      <c r="L162" s="4"/>
    </row>
    <row r="163" spans="1:12" s="3" customFormat="1" x14ac:dyDescent="0.35">
      <c r="B163" s="43">
        <v>7</v>
      </c>
      <c r="C163" s="46" t="s">
        <v>48</v>
      </c>
      <c r="D163" s="62">
        <f>E105</f>
        <v>0</v>
      </c>
      <c r="E163" s="50">
        <v>11805</v>
      </c>
      <c r="F163" s="63">
        <f t="shared" si="43"/>
        <v>0</v>
      </c>
      <c r="G163" s="63">
        <f t="shared" si="44"/>
        <v>0</v>
      </c>
      <c r="H163" s="4"/>
      <c r="I163" s="5"/>
      <c r="J163" s="4"/>
      <c r="K163" s="4"/>
      <c r="L163" s="4"/>
    </row>
    <row r="164" spans="1:12" s="3" customFormat="1" x14ac:dyDescent="0.35">
      <c r="C164" s="64"/>
      <c r="E164" s="132" t="s">
        <v>176</v>
      </c>
      <c r="F164" s="68">
        <f>SUM(F157:F163)</f>
        <v>21815.64</v>
      </c>
      <c r="G164" s="68">
        <f>SUM(G157:G163)</f>
        <v>32723.46</v>
      </c>
      <c r="H164" s="4"/>
      <c r="I164" s="5"/>
      <c r="J164" s="4"/>
      <c r="K164" s="4"/>
      <c r="L164" s="4"/>
    </row>
    <row r="165" spans="1:12" s="3" customFormat="1" x14ac:dyDescent="0.35">
      <c r="C165" s="64"/>
      <c r="E165" s="132"/>
      <c r="F165" s="68"/>
      <c r="G165" s="68"/>
      <c r="H165" s="4"/>
      <c r="I165" s="5"/>
      <c r="J165" s="4"/>
      <c r="K165" s="4"/>
      <c r="L165" s="4"/>
    </row>
    <row r="166" spans="1:12" s="3" customFormat="1" x14ac:dyDescent="0.35">
      <c r="A166" s="45" t="s">
        <v>41</v>
      </c>
    </row>
    <row r="167" spans="1:12" s="3" customFormat="1" ht="26" x14ac:dyDescent="0.35">
      <c r="A167" s="8" t="s">
        <v>33</v>
      </c>
      <c r="B167" s="8" t="s">
        <v>94</v>
      </c>
      <c r="C167" s="8" t="s">
        <v>95</v>
      </c>
      <c r="D167" s="61" t="s">
        <v>96</v>
      </c>
      <c r="E167" s="10" t="s">
        <v>99</v>
      </c>
    </row>
    <row r="168" spans="1:12" s="3" customFormat="1" x14ac:dyDescent="0.35">
      <c r="A168" s="43">
        <v>1</v>
      </c>
      <c r="B168" s="46">
        <f>C94</f>
        <v>0</v>
      </c>
      <c r="C168" s="44">
        <f>C95</f>
        <v>0</v>
      </c>
      <c r="D168" s="50">
        <v>11805</v>
      </c>
      <c r="E168" s="66">
        <f>C168*D168</f>
        <v>0</v>
      </c>
      <c r="H168" s="18"/>
      <c r="I168" s="5"/>
      <c r="J168" s="4"/>
      <c r="K168" s="4"/>
      <c r="L168" s="4"/>
    </row>
    <row r="169" spans="1:12" s="3" customFormat="1" x14ac:dyDescent="0.35">
      <c r="A169" s="18"/>
      <c r="B169" s="18"/>
      <c r="C169" s="64"/>
      <c r="H169" s="18"/>
      <c r="I169" s="5"/>
      <c r="J169" s="4"/>
      <c r="K169" s="4"/>
      <c r="L169" s="4"/>
    </row>
    <row r="170" spans="1:12" s="3" customFormat="1" x14ac:dyDescent="0.35">
      <c r="A170" s="45" t="s">
        <v>205</v>
      </c>
      <c r="F170" s="55"/>
      <c r="G170" s="5"/>
      <c r="H170" s="4"/>
      <c r="I170" s="5"/>
      <c r="J170" s="4"/>
      <c r="K170" s="4"/>
      <c r="L170" s="4"/>
    </row>
    <row r="171" spans="1:12" s="3" customFormat="1" ht="26" x14ac:dyDescent="0.35">
      <c r="A171" s="8" t="s">
        <v>33</v>
      </c>
      <c r="B171" s="8" t="s">
        <v>94</v>
      </c>
      <c r="C171" s="8" t="s">
        <v>95</v>
      </c>
      <c r="D171" s="61" t="s">
        <v>96</v>
      </c>
      <c r="E171" s="10" t="s">
        <v>99</v>
      </c>
      <c r="F171" s="55"/>
      <c r="G171" s="5"/>
      <c r="H171" s="4"/>
      <c r="I171" s="5"/>
      <c r="J171" s="4"/>
      <c r="K171" s="4"/>
      <c r="L171" s="4"/>
    </row>
    <row r="172" spans="1:12" s="3" customFormat="1" x14ac:dyDescent="0.35">
      <c r="A172" s="43">
        <v>1</v>
      </c>
      <c r="B172" s="46" t="str">
        <f>C99</f>
        <v>(Select Baby Coil)</v>
      </c>
      <c r="C172" s="44">
        <f>C100</f>
        <v>0</v>
      </c>
      <c r="D172" s="50">
        <v>11805</v>
      </c>
      <c r="E172" s="66">
        <f>C172*D172</f>
        <v>0</v>
      </c>
      <c r="F172" s="55"/>
      <c r="G172" s="5"/>
      <c r="H172" s="4"/>
      <c r="I172" s="5"/>
      <c r="J172" s="4"/>
      <c r="K172" s="4"/>
      <c r="L172" s="4"/>
    </row>
    <row r="173" spans="1:12" s="3" customFormat="1" x14ac:dyDescent="0.35">
      <c r="C173" s="64"/>
      <c r="F173" s="55"/>
      <c r="G173" s="5"/>
      <c r="H173" s="4"/>
      <c r="I173" s="5"/>
      <c r="J173" s="4"/>
      <c r="K173" s="4"/>
      <c r="L173" s="4"/>
    </row>
    <row r="174" spans="1:12" s="3" customFormat="1" x14ac:dyDescent="0.35">
      <c r="A174" s="65" t="s">
        <v>100</v>
      </c>
      <c r="C174" s="64"/>
      <c r="F174" s="55"/>
      <c r="G174" s="5"/>
      <c r="H174" s="4"/>
      <c r="I174" s="5"/>
      <c r="J174" s="4"/>
      <c r="K174" s="4"/>
      <c r="L174" s="4"/>
    </row>
    <row r="175" spans="1:12" s="3" customFormat="1" ht="26" x14ac:dyDescent="0.35">
      <c r="A175" s="8" t="s">
        <v>33</v>
      </c>
      <c r="B175" s="8" t="s">
        <v>94</v>
      </c>
      <c r="C175" s="8" t="s">
        <v>95</v>
      </c>
      <c r="D175" s="10" t="s">
        <v>96</v>
      </c>
      <c r="E175" s="10" t="s">
        <v>99</v>
      </c>
      <c r="F175" s="55"/>
      <c r="G175" s="5"/>
      <c r="H175" s="4"/>
      <c r="I175" s="5"/>
      <c r="J175" s="4"/>
      <c r="K175" s="4"/>
      <c r="L175" s="4"/>
    </row>
    <row r="176" spans="1:12" s="3" customFormat="1" x14ac:dyDescent="0.35">
      <c r="A176" s="43">
        <v>1</v>
      </c>
      <c r="B176" s="67" t="s">
        <v>100</v>
      </c>
      <c r="C176" s="62">
        <f>K117</f>
        <v>-7.5</v>
      </c>
      <c r="D176" s="50">
        <v>11805</v>
      </c>
      <c r="E176" s="51">
        <f>C176*D176</f>
        <v>-88537.5</v>
      </c>
      <c r="F176" s="55"/>
      <c r="G176" s="5"/>
      <c r="H176" s="4"/>
      <c r="I176" s="5"/>
      <c r="J176" s="4"/>
      <c r="K176" s="4"/>
      <c r="L176" s="4"/>
    </row>
    <row r="178" spans="1:10" x14ac:dyDescent="0.35">
      <c r="A178" s="295" t="s">
        <v>101</v>
      </c>
      <c r="B178" s="295"/>
      <c r="C178" s="295"/>
      <c r="D178" s="295"/>
      <c r="E178" s="295"/>
      <c r="F178" s="295"/>
      <c r="G178" s="295"/>
      <c r="H178" s="295"/>
      <c r="I178" s="295"/>
      <c r="J178" s="295"/>
    </row>
    <row r="180" spans="1:10" s="137" customFormat="1" x14ac:dyDescent="0.35">
      <c r="A180" s="288" t="s">
        <v>33</v>
      </c>
      <c r="B180" s="288" t="s">
        <v>177</v>
      </c>
      <c r="C180" s="288" t="s">
        <v>178</v>
      </c>
      <c r="D180" s="288" t="s">
        <v>179</v>
      </c>
      <c r="E180" s="289" t="s">
        <v>101</v>
      </c>
      <c r="F180" s="290"/>
      <c r="G180" s="290"/>
      <c r="H180" s="290"/>
      <c r="I180" s="290"/>
    </row>
    <row r="181" spans="1:10" s="137" customFormat="1" x14ac:dyDescent="0.35">
      <c r="A181" s="288"/>
      <c r="B181" s="288"/>
      <c r="C181" s="288"/>
      <c r="D181" s="288"/>
      <c r="E181" s="138" t="s">
        <v>180</v>
      </c>
      <c r="F181" s="138" t="s">
        <v>181</v>
      </c>
      <c r="G181" s="136" t="s">
        <v>182</v>
      </c>
      <c r="H181" s="136" t="s">
        <v>102</v>
      </c>
      <c r="I181" s="136" t="s">
        <v>103</v>
      </c>
    </row>
    <row r="182" spans="1:10" s="137" customFormat="1" x14ac:dyDescent="0.35">
      <c r="A182" s="136"/>
      <c r="B182" s="153"/>
      <c r="C182" s="153"/>
      <c r="D182" s="153"/>
      <c r="E182" s="285" t="s">
        <v>220</v>
      </c>
      <c r="F182" s="286"/>
      <c r="G182" s="287"/>
    </row>
    <row r="183" spans="1:10" s="137" customFormat="1" ht="29" customHeight="1" x14ac:dyDescent="0.35">
      <c r="A183" s="292">
        <v>1</v>
      </c>
      <c r="B183" s="293" t="s">
        <v>183</v>
      </c>
      <c r="C183" s="293"/>
      <c r="D183" s="153"/>
      <c r="E183" s="142">
        <v>1169143</v>
      </c>
      <c r="F183" s="133" t="s">
        <v>207</v>
      </c>
      <c r="G183" s="133" t="s">
        <v>241</v>
      </c>
      <c r="H183" s="149">
        <f>SUM(P138,P146,P152)</f>
        <v>20423830.5</v>
      </c>
      <c r="I183" s="145"/>
      <c r="J183" s="291" t="s">
        <v>214</v>
      </c>
    </row>
    <row r="184" spans="1:10" s="137" customFormat="1" x14ac:dyDescent="0.35">
      <c r="A184" s="292"/>
      <c r="B184" s="293"/>
      <c r="C184" s="293"/>
      <c r="D184" s="153"/>
      <c r="E184" s="143">
        <v>1169174</v>
      </c>
      <c r="F184" s="133" t="s">
        <v>208</v>
      </c>
      <c r="G184" s="133" t="s">
        <v>242</v>
      </c>
      <c r="H184" s="149">
        <f>SUM(Q138,Q146,Q152)</f>
        <v>692040</v>
      </c>
      <c r="I184" s="145"/>
      <c r="J184" s="291"/>
    </row>
    <row r="185" spans="1:10" s="137" customFormat="1" ht="31" customHeight="1" x14ac:dyDescent="0.35">
      <c r="A185" s="292"/>
      <c r="B185" s="293"/>
      <c r="C185" s="293"/>
      <c r="D185" s="153"/>
      <c r="E185" s="142">
        <v>1169263</v>
      </c>
      <c r="F185" s="133" t="s">
        <v>209</v>
      </c>
      <c r="G185" s="133" t="s">
        <v>243</v>
      </c>
      <c r="H185" s="149">
        <f>SUM(R138,R146,R152)</f>
        <v>519030</v>
      </c>
      <c r="I185" s="145"/>
      <c r="J185" s="291"/>
    </row>
    <row r="186" spans="1:10" s="137" customFormat="1" ht="30" customHeight="1" x14ac:dyDescent="0.35">
      <c r="A186" s="292"/>
      <c r="B186" s="293"/>
      <c r="C186" s="293"/>
      <c r="D186" s="153"/>
      <c r="E186" s="142">
        <v>1169202</v>
      </c>
      <c r="F186" s="133" t="s">
        <v>210</v>
      </c>
      <c r="G186" s="133" t="s">
        <v>244</v>
      </c>
      <c r="H186" s="149">
        <f>SUM(S138,S146,S152)</f>
        <v>865050</v>
      </c>
      <c r="I186" s="145"/>
      <c r="J186" s="291"/>
    </row>
    <row r="187" spans="1:10" s="137" customFormat="1" ht="28.5" customHeight="1" x14ac:dyDescent="0.35">
      <c r="A187" s="292"/>
      <c r="B187" s="293"/>
      <c r="C187" s="293"/>
      <c r="D187" s="153"/>
      <c r="E187" s="142">
        <v>1169233</v>
      </c>
      <c r="F187" s="133" t="s">
        <v>211</v>
      </c>
      <c r="G187" s="133" t="s">
        <v>245</v>
      </c>
      <c r="H187" s="149">
        <f>SUM(T138,T146,T152)</f>
        <v>261174</v>
      </c>
      <c r="I187" s="145"/>
      <c r="J187" s="291"/>
    </row>
    <row r="188" spans="1:10" s="137" customFormat="1" ht="28.5" customHeight="1" x14ac:dyDescent="0.35">
      <c r="A188" s="292"/>
      <c r="B188" s="293"/>
      <c r="C188" s="293"/>
      <c r="D188" s="153"/>
      <c r="E188" s="142">
        <v>1169294</v>
      </c>
      <c r="F188" s="133" t="s">
        <v>212</v>
      </c>
      <c r="G188" s="133" t="s">
        <v>246</v>
      </c>
      <c r="H188" s="149">
        <f>SUM(U138,U146,U152)</f>
        <v>346020</v>
      </c>
      <c r="I188" s="145"/>
      <c r="J188" s="291"/>
    </row>
    <row r="189" spans="1:10" s="137" customFormat="1" ht="28.5" customHeight="1" x14ac:dyDescent="0.35">
      <c r="A189" s="292"/>
      <c r="B189" s="293"/>
      <c r="C189" s="293"/>
      <c r="D189" s="153"/>
      <c r="E189" s="142">
        <v>1169324</v>
      </c>
      <c r="F189" s="133" t="s">
        <v>213</v>
      </c>
      <c r="G189" s="133" t="s">
        <v>247</v>
      </c>
      <c r="H189" s="149">
        <f>SUM(V138,V146,V152)</f>
        <v>408476.61000000004</v>
      </c>
      <c r="I189" s="145"/>
      <c r="J189" s="291"/>
    </row>
    <row r="190" spans="1:10" s="137" customFormat="1" ht="28.5" customHeight="1" x14ac:dyDescent="0.35">
      <c r="A190" s="292"/>
      <c r="B190" s="293"/>
      <c r="C190" s="293"/>
      <c r="D190" s="153"/>
      <c r="E190" s="193"/>
      <c r="F190" s="147" t="s">
        <v>215</v>
      </c>
      <c r="G190" s="144"/>
      <c r="H190" s="146"/>
      <c r="I190" s="152">
        <f>SUM(Y146,Y152)</f>
        <v>90522.339600000007</v>
      </c>
      <c r="J190" s="291"/>
    </row>
    <row r="191" spans="1:10" s="137" customFormat="1" ht="14.5" customHeight="1" x14ac:dyDescent="0.35">
      <c r="A191" s="292"/>
      <c r="B191" s="293"/>
      <c r="C191" s="293"/>
      <c r="D191" s="153"/>
      <c r="E191" s="285" t="s">
        <v>221</v>
      </c>
      <c r="F191" s="286"/>
      <c r="G191" s="287"/>
      <c r="H191" s="155"/>
      <c r="I191" s="156"/>
      <c r="J191" s="151"/>
    </row>
    <row r="192" spans="1:10" s="137" customFormat="1" ht="28.5" customHeight="1" x14ac:dyDescent="0.35">
      <c r="A192" s="292"/>
      <c r="B192" s="293"/>
      <c r="C192" s="293"/>
      <c r="D192" s="153"/>
      <c r="E192" s="142" t="s">
        <v>184</v>
      </c>
      <c r="F192" s="133" t="s">
        <v>185</v>
      </c>
      <c r="G192" s="133" t="s">
        <v>188</v>
      </c>
      <c r="H192" s="146">
        <f>F164</f>
        <v>21815.64</v>
      </c>
      <c r="I192" s="145"/>
      <c r="J192" s="291" t="s">
        <v>252</v>
      </c>
    </row>
    <row r="193" spans="1:16" s="137" customFormat="1" ht="28.5" customHeight="1" x14ac:dyDescent="0.35">
      <c r="A193" s="292"/>
      <c r="B193" s="293"/>
      <c r="C193" s="293"/>
      <c r="D193" s="153"/>
      <c r="E193" s="142" t="s">
        <v>191</v>
      </c>
      <c r="F193" s="133" t="s">
        <v>192</v>
      </c>
      <c r="G193" s="133" t="s">
        <v>193</v>
      </c>
      <c r="H193" s="146">
        <f>E168</f>
        <v>0</v>
      </c>
      <c r="I193" s="145"/>
      <c r="J193" s="291"/>
    </row>
    <row r="194" spans="1:16" s="137" customFormat="1" ht="28.5" customHeight="1" x14ac:dyDescent="0.35">
      <c r="A194" s="292"/>
      <c r="B194" s="293"/>
      <c r="C194" s="293"/>
      <c r="D194" s="153"/>
      <c r="E194" s="193"/>
      <c r="F194" s="150" t="s">
        <v>206</v>
      </c>
      <c r="G194" s="133"/>
      <c r="H194" s="146">
        <f>E172</f>
        <v>0</v>
      </c>
      <c r="I194" s="145"/>
      <c r="J194" s="291"/>
      <c r="K194" s="190" t="s">
        <v>317</v>
      </c>
      <c r="L194" s="317" t="s">
        <v>316</v>
      </c>
      <c r="M194" s="317"/>
      <c r="N194" s="317"/>
    </row>
    <row r="195" spans="1:16" s="137" customFormat="1" ht="28.5" customHeight="1" x14ac:dyDescent="0.35">
      <c r="A195" s="292"/>
      <c r="B195" s="293"/>
      <c r="C195" s="293"/>
      <c r="D195" s="153"/>
      <c r="E195" s="135" t="s">
        <v>191</v>
      </c>
      <c r="F195" s="134" t="s">
        <v>192</v>
      </c>
      <c r="G195" s="134" t="s">
        <v>265</v>
      </c>
      <c r="H195" s="146"/>
      <c r="I195" s="146">
        <f>D33*F136</f>
        <v>3125019.6</v>
      </c>
      <c r="J195" s="291"/>
      <c r="K195" s="137" t="s">
        <v>119</v>
      </c>
      <c r="L195" s="188" t="s">
        <v>314</v>
      </c>
      <c r="M195" s="191" t="s">
        <v>320</v>
      </c>
      <c r="N195" s="188" t="s">
        <v>315</v>
      </c>
      <c r="O195" s="137" t="s">
        <v>318</v>
      </c>
      <c r="P195" s="192" t="s">
        <v>319</v>
      </c>
    </row>
    <row r="196" spans="1:16" s="137" customFormat="1" ht="28.5" customHeight="1" x14ac:dyDescent="0.35">
      <c r="A196" s="292"/>
      <c r="B196" s="293"/>
      <c r="C196" s="293"/>
      <c r="D196" s="153"/>
      <c r="E196" s="134" t="s">
        <v>195</v>
      </c>
      <c r="F196" s="134" t="s">
        <v>248</v>
      </c>
      <c r="G196" s="134" t="s">
        <v>251</v>
      </c>
      <c r="H196" s="145"/>
      <c r="I196" s="146">
        <f>SUM(D34:D36)*F136</f>
        <v>17264812.5</v>
      </c>
      <c r="J196" s="291"/>
      <c r="K196" s="151">
        <f>I196+I195</f>
        <v>20389832.100000001</v>
      </c>
      <c r="L196" s="189">
        <f>H183</f>
        <v>20423830.5</v>
      </c>
      <c r="M196" s="189">
        <f>H192+H198</f>
        <v>54539.1</v>
      </c>
      <c r="N196" s="189">
        <f>E176</f>
        <v>-88537.5</v>
      </c>
      <c r="O196" s="151">
        <f>SUM(L196:N196)</f>
        <v>20389832.100000001</v>
      </c>
      <c r="P196" s="151">
        <f>K196-O196</f>
        <v>0</v>
      </c>
    </row>
    <row r="197" spans="1:16" s="137" customFormat="1" x14ac:dyDescent="0.35">
      <c r="A197" s="292"/>
      <c r="B197" s="293"/>
      <c r="C197" s="293"/>
      <c r="D197" s="153"/>
      <c r="E197" s="285" t="s">
        <v>224</v>
      </c>
      <c r="F197" s="286"/>
      <c r="G197" s="287"/>
      <c r="H197" s="155"/>
      <c r="I197" s="156"/>
    </row>
    <row r="198" spans="1:16" s="137" customFormat="1" ht="28.5" customHeight="1" x14ac:dyDescent="0.35">
      <c r="A198" s="292"/>
      <c r="B198" s="293"/>
      <c r="C198" s="293"/>
      <c r="D198" s="153"/>
      <c r="E198" s="142">
        <v>1207129</v>
      </c>
      <c r="F198" s="133" t="s">
        <v>187</v>
      </c>
      <c r="G198" s="133" t="s">
        <v>186</v>
      </c>
      <c r="H198" s="146">
        <f>G164</f>
        <v>32723.46</v>
      </c>
      <c r="I198" s="145"/>
      <c r="J198" s="291" t="s">
        <v>216</v>
      </c>
    </row>
    <row r="199" spans="1:16" s="137" customFormat="1" ht="28.5" customHeight="1" x14ac:dyDescent="0.35">
      <c r="A199" s="292"/>
      <c r="B199" s="293"/>
      <c r="C199" s="293"/>
      <c r="D199" s="153"/>
      <c r="E199" s="194"/>
      <c r="F199" s="195" t="s">
        <v>194</v>
      </c>
      <c r="G199" s="141"/>
      <c r="H199" s="146">
        <f>SUM(Y146,Y152)</f>
        <v>90522.339600000007</v>
      </c>
      <c r="I199" s="145"/>
      <c r="J199" s="291"/>
    </row>
    <row r="200" spans="1:16" s="137" customFormat="1" x14ac:dyDescent="0.35">
      <c r="A200" s="292"/>
      <c r="B200" s="293"/>
      <c r="C200" s="293"/>
      <c r="D200" s="157"/>
      <c r="E200" s="285" t="s">
        <v>222</v>
      </c>
      <c r="F200" s="286"/>
      <c r="G200" s="287"/>
      <c r="H200" s="158"/>
      <c r="I200" s="159"/>
      <c r="J200" s="154"/>
    </row>
    <row r="201" spans="1:16" s="137" customFormat="1" ht="28.5" customHeight="1" x14ac:dyDescent="0.35">
      <c r="A201" s="292"/>
      <c r="B201" s="293"/>
      <c r="C201" s="293"/>
      <c r="D201" s="153"/>
      <c r="E201" s="193">
        <v>1936155</v>
      </c>
      <c r="F201" s="150" t="s">
        <v>189</v>
      </c>
      <c r="G201" s="144" t="s">
        <v>190</v>
      </c>
      <c r="H201" s="146"/>
      <c r="I201" s="175">
        <f>ABS(E176)</f>
        <v>88537.5</v>
      </c>
      <c r="J201" s="82" t="s">
        <v>217</v>
      </c>
      <c r="K201" s="137" t="s">
        <v>266</v>
      </c>
    </row>
    <row r="202" spans="1:16" s="137" customFormat="1" x14ac:dyDescent="0.35">
      <c r="A202" s="292"/>
      <c r="B202" s="293"/>
      <c r="C202" s="293"/>
      <c r="D202" s="160"/>
      <c r="E202" s="285" t="s">
        <v>223</v>
      </c>
      <c r="F202" s="286"/>
      <c r="G202" s="287"/>
      <c r="H202" s="161"/>
      <c r="I202" s="162"/>
    </row>
    <row r="203" spans="1:16" s="137" customFormat="1" ht="28.5" customHeight="1" x14ac:dyDescent="0.35">
      <c r="A203" s="292"/>
      <c r="B203" s="293"/>
      <c r="C203" s="293"/>
      <c r="D203" s="153"/>
      <c r="E203" s="135">
        <v>75607</v>
      </c>
      <c r="F203" s="134" t="s">
        <v>196</v>
      </c>
      <c r="G203" s="133"/>
      <c r="H203" s="145"/>
      <c r="I203" s="146">
        <f>SUM(Q138,Q146,Q152)</f>
        <v>692040</v>
      </c>
      <c r="J203" s="249" t="s">
        <v>218</v>
      </c>
    </row>
    <row r="204" spans="1:16" s="137" customFormat="1" ht="28.5" customHeight="1" x14ac:dyDescent="0.35">
      <c r="A204" s="292"/>
      <c r="B204" s="293"/>
      <c r="C204" s="293"/>
      <c r="D204" s="153"/>
      <c r="E204" s="135">
        <v>75610</v>
      </c>
      <c r="F204" s="134" t="s">
        <v>199</v>
      </c>
      <c r="G204" s="133"/>
      <c r="H204" s="145"/>
      <c r="I204" s="146">
        <f>SUM(R138,R146,R152)</f>
        <v>519030</v>
      </c>
      <c r="J204" s="249"/>
    </row>
    <row r="205" spans="1:16" s="137" customFormat="1" ht="28.5" customHeight="1" x14ac:dyDescent="0.35">
      <c r="A205" s="292"/>
      <c r="B205" s="293"/>
      <c r="C205" s="293"/>
      <c r="D205" s="153"/>
      <c r="E205" s="135">
        <v>75608</v>
      </c>
      <c r="F205" s="134" t="s">
        <v>197</v>
      </c>
      <c r="G205" s="133"/>
      <c r="H205" s="145"/>
      <c r="I205" s="146">
        <f>SUM(S138,S146,S152)</f>
        <v>865050</v>
      </c>
      <c r="J205" s="249"/>
    </row>
    <row r="206" spans="1:16" s="137" customFormat="1" ht="28.5" customHeight="1" x14ac:dyDescent="0.35">
      <c r="A206" s="292"/>
      <c r="B206" s="293"/>
      <c r="C206" s="293"/>
      <c r="D206" s="153"/>
      <c r="E206" s="135">
        <v>75609</v>
      </c>
      <c r="F206" s="134" t="s">
        <v>198</v>
      </c>
      <c r="G206" s="133"/>
      <c r="H206" s="145"/>
      <c r="I206" s="146">
        <f>SUM(T138,T146,T152)</f>
        <v>261174</v>
      </c>
      <c r="J206" s="249"/>
    </row>
    <row r="207" spans="1:16" s="137" customFormat="1" ht="24" customHeight="1" x14ac:dyDescent="0.35">
      <c r="A207" s="292"/>
      <c r="B207" s="293"/>
      <c r="C207" s="293"/>
      <c r="D207" s="153"/>
      <c r="E207" s="135">
        <v>75611</v>
      </c>
      <c r="F207" s="134" t="s">
        <v>200</v>
      </c>
      <c r="G207" s="133"/>
      <c r="H207" s="145"/>
      <c r="I207" s="146">
        <f>SUM(U138,U146,U152)</f>
        <v>346020</v>
      </c>
      <c r="J207" s="249"/>
    </row>
    <row r="208" spans="1:16" s="137" customFormat="1" x14ac:dyDescent="0.35">
      <c r="A208" s="292"/>
      <c r="B208" s="293"/>
      <c r="C208" s="293"/>
      <c r="D208" s="153"/>
      <c r="E208" s="135">
        <v>75612</v>
      </c>
      <c r="F208" s="134" t="s">
        <v>313</v>
      </c>
      <c r="G208" s="133"/>
      <c r="H208" s="145"/>
      <c r="I208" s="146">
        <f>SUM(V138,V146,V152)</f>
        <v>408476.61000000004</v>
      </c>
      <c r="J208" s="249"/>
    </row>
    <row r="209" spans="1:10" s="137" customFormat="1" ht="24" customHeight="1" x14ac:dyDescent="0.35">
      <c r="A209" s="292"/>
      <c r="B209" s="293"/>
      <c r="C209" s="293"/>
      <c r="D209" s="153"/>
      <c r="E209" s="147"/>
      <c r="F209" s="147"/>
      <c r="G209" s="150"/>
      <c r="H209" s="148">
        <f>SUM(H183:H208)</f>
        <v>23660682.549600001</v>
      </c>
      <c r="I209" s="148">
        <f>SUM(I183:I208)</f>
        <v>23660682.549599998</v>
      </c>
      <c r="J209" s="151">
        <f>H209-I209</f>
        <v>0</v>
      </c>
    </row>
    <row r="210" spans="1:10" s="137" customFormat="1" ht="24" customHeight="1" x14ac:dyDescent="0.35">
      <c r="A210" s="292"/>
      <c r="B210" s="293"/>
      <c r="C210" s="293"/>
      <c r="D210" s="153"/>
      <c r="E210" s="142" t="s">
        <v>201</v>
      </c>
      <c r="F210" s="133" t="s">
        <v>202</v>
      </c>
      <c r="G210" s="133"/>
      <c r="H210" s="146">
        <f>SUM(W136:W137,W146,W152)</f>
        <v>23515621.109999999</v>
      </c>
      <c r="I210" s="145"/>
    </row>
    <row r="211" spans="1:10" s="137" customFormat="1" ht="24" customHeight="1" x14ac:dyDescent="0.35">
      <c r="A211" s="292"/>
      <c r="B211" s="293"/>
      <c r="C211" s="293"/>
      <c r="D211" s="153"/>
      <c r="E211" s="135">
        <v>1169873</v>
      </c>
      <c r="F211" s="134" t="s">
        <v>203</v>
      </c>
      <c r="G211" s="133"/>
      <c r="H211" s="145"/>
      <c r="I211" s="149">
        <f>SUM(H183:H189)</f>
        <v>23515621.109999999</v>
      </c>
    </row>
    <row r="212" spans="1:10" s="137" customFormat="1" ht="24" customHeight="1" x14ac:dyDescent="0.35">
      <c r="A212" s="292"/>
      <c r="B212" s="293"/>
      <c r="C212" s="293"/>
      <c r="D212" s="153"/>
      <c r="E212" s="147"/>
      <c r="F212" s="147"/>
      <c r="G212" s="150"/>
      <c r="H212" s="148">
        <f>SUM(H210:H211)</f>
        <v>23515621.109999999</v>
      </c>
      <c r="I212" s="148">
        <f>SUM(I210:I211)</f>
        <v>23515621.109999999</v>
      </c>
    </row>
  </sheetData>
  <mergeCells count="41">
    <mergeCell ref="E6:F6"/>
    <mergeCell ref="G6:H6"/>
    <mergeCell ref="A22:L22"/>
    <mergeCell ref="A3:L3"/>
    <mergeCell ref="D116:G116"/>
    <mergeCell ref="E14:F14"/>
    <mergeCell ref="G14:H14"/>
    <mergeCell ref="D31:F31"/>
    <mergeCell ref="H31:I31"/>
    <mergeCell ref="C107:E107"/>
    <mergeCell ref="D117:G117"/>
    <mergeCell ref="A132:L132"/>
    <mergeCell ref="G134:N134"/>
    <mergeCell ref="P134:W134"/>
    <mergeCell ref="H122:H125"/>
    <mergeCell ref="I122:I125"/>
    <mergeCell ref="P141:W141"/>
    <mergeCell ref="G149:N149"/>
    <mergeCell ref="P149:W149"/>
    <mergeCell ref="A178:J178"/>
    <mergeCell ref="A180:A181"/>
    <mergeCell ref="B180:B181"/>
    <mergeCell ref="C180:C181"/>
    <mergeCell ref="D180:D181"/>
    <mergeCell ref="E180:I180"/>
    <mergeCell ref="J203:J208"/>
    <mergeCell ref="G120:I120"/>
    <mergeCell ref="G122:G125"/>
    <mergeCell ref="E182:G182"/>
    <mergeCell ref="A183:A212"/>
    <mergeCell ref="B183:B212"/>
    <mergeCell ref="C183:C212"/>
    <mergeCell ref="J183:J190"/>
    <mergeCell ref="E191:G191"/>
    <mergeCell ref="J192:J196"/>
    <mergeCell ref="E197:G197"/>
    <mergeCell ref="J198:J199"/>
    <mergeCell ref="E202:G202"/>
    <mergeCell ref="G141:N141"/>
    <mergeCell ref="E200:G200"/>
    <mergeCell ref="L194:N194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55258-0CBE-46C7-8CAC-91720944DD78}">
  <sheetPr>
    <tabColor rgb="FFFFFF00"/>
  </sheetPr>
  <dimension ref="A1:AG212"/>
  <sheetViews>
    <sheetView topLeftCell="A145" zoomScale="85" zoomScaleNormal="85" workbookViewId="0">
      <selection activeCell="F157" sqref="F157"/>
    </sheetView>
  </sheetViews>
  <sheetFormatPr defaultRowHeight="14.5" x14ac:dyDescent="0.35"/>
  <cols>
    <col min="1" max="1" width="11.26953125" style="1" customWidth="1"/>
    <col min="2" max="2" width="18.54296875" style="1" customWidth="1"/>
    <col min="3" max="3" width="25.81640625" style="1" customWidth="1"/>
    <col min="4" max="4" width="17.90625" style="1" bestFit="1" customWidth="1"/>
    <col min="5" max="5" width="15" style="1" customWidth="1"/>
    <col min="6" max="6" width="28.36328125" style="1" customWidth="1"/>
    <col min="7" max="7" width="36.08984375" style="1" customWidth="1"/>
    <col min="8" max="8" width="16.453125" style="1" customWidth="1"/>
    <col min="9" max="9" width="16.1796875" style="1" bestFit="1" customWidth="1"/>
    <col min="10" max="10" width="13.08984375" style="1" customWidth="1"/>
    <col min="11" max="11" width="13.54296875" style="1" customWidth="1"/>
    <col min="12" max="12" width="14.1796875" style="1" customWidth="1"/>
    <col min="13" max="13" width="17.1796875" style="1" customWidth="1"/>
    <col min="14" max="14" width="15.36328125" style="1" customWidth="1"/>
    <col min="15" max="15" width="14.08984375" style="1" customWidth="1"/>
    <col min="16" max="16" width="14.6328125" style="1" bestFit="1" customWidth="1"/>
    <col min="17" max="17" width="11.81640625" style="1" bestFit="1" customWidth="1"/>
    <col min="18" max="18" width="14.90625" style="1" customWidth="1"/>
    <col min="19" max="19" width="15.453125" style="1" customWidth="1"/>
    <col min="20" max="20" width="12" style="1" customWidth="1"/>
    <col min="21" max="21" width="12.7265625" style="1" customWidth="1"/>
    <col min="22" max="22" width="13" style="1" customWidth="1"/>
    <col min="23" max="23" width="14.36328125" style="1" customWidth="1"/>
    <col min="24" max="24" width="13.81640625" style="1" bestFit="1" customWidth="1"/>
    <col min="25" max="25" width="10.81640625" style="1" bestFit="1" customWidth="1"/>
    <col min="26" max="27" width="11.08984375" style="1" customWidth="1"/>
    <col min="28" max="16384" width="8.7265625" style="1"/>
  </cols>
  <sheetData>
    <row r="1" spans="1:12" x14ac:dyDescent="0.35">
      <c r="A1" s="69" t="s">
        <v>268</v>
      </c>
    </row>
    <row r="3" spans="1:12" x14ac:dyDescent="0.35">
      <c r="A3" s="248" t="s">
        <v>254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5" spans="1:12" x14ac:dyDescent="0.35">
      <c r="A5" s="69" t="s">
        <v>255</v>
      </c>
      <c r="B5" s="78"/>
      <c r="C5" s="77"/>
      <c r="D5" s="77"/>
      <c r="E5" s="77"/>
    </row>
    <row r="6" spans="1:12" x14ac:dyDescent="0.35">
      <c r="B6" s="78"/>
      <c r="C6" s="77"/>
      <c r="D6" s="77"/>
      <c r="E6" s="249" t="s">
        <v>140</v>
      </c>
      <c r="F6" s="249"/>
      <c r="G6" s="250" t="s">
        <v>145</v>
      </c>
      <c r="H6" s="250"/>
    </row>
    <row r="7" spans="1:12" ht="26" x14ac:dyDescent="0.35">
      <c r="B7" s="10" t="s">
        <v>65</v>
      </c>
      <c r="C7" s="10" t="s">
        <v>104</v>
      </c>
      <c r="D7" s="10" t="s">
        <v>117</v>
      </c>
      <c r="E7" s="10" t="s">
        <v>118</v>
      </c>
      <c r="F7" s="10" t="s">
        <v>122</v>
      </c>
      <c r="G7" s="103" t="s">
        <v>118</v>
      </c>
      <c r="H7" s="103" t="s">
        <v>122</v>
      </c>
    </row>
    <row r="8" spans="1:12" x14ac:dyDescent="0.35">
      <c r="B8" s="75">
        <v>1</v>
      </c>
      <c r="C8" s="71" t="s">
        <v>136</v>
      </c>
      <c r="D8" s="83" t="str">
        <f>C8&amp;"-"&amp;"BC"&amp;"."&amp;5</f>
        <v>DEBDA0319-T1-BC.5</v>
      </c>
      <c r="E8" s="84">
        <v>487.5</v>
      </c>
      <c r="F8" s="84">
        <v>488.75</v>
      </c>
      <c r="G8" s="104">
        <v>487.5</v>
      </c>
      <c r="H8" s="104">
        <v>488.75</v>
      </c>
    </row>
    <row r="9" spans="1:12" x14ac:dyDescent="0.35">
      <c r="B9" s="75">
        <v>1</v>
      </c>
      <c r="C9" s="71" t="s">
        <v>136</v>
      </c>
      <c r="D9" s="83" t="str">
        <f>C9&amp;"-"&amp;"BC"&amp;"."&amp;6</f>
        <v>DEBDA0319-T1-BC.6</v>
      </c>
      <c r="E9" s="84">
        <v>487.5</v>
      </c>
      <c r="F9" s="84">
        <v>488.75</v>
      </c>
      <c r="G9" s="104">
        <v>487.5</v>
      </c>
      <c r="H9" s="104">
        <v>488.75</v>
      </c>
    </row>
    <row r="10" spans="1:12" x14ac:dyDescent="0.35">
      <c r="B10" s="75">
        <v>1</v>
      </c>
      <c r="C10" s="71" t="s">
        <v>136</v>
      </c>
      <c r="D10" s="83" t="str">
        <f>C10&amp;"-"&amp;"BC"&amp;"."&amp;7</f>
        <v>DEBDA0319-T1-BC.7</v>
      </c>
      <c r="E10" s="84">
        <v>487.5</v>
      </c>
      <c r="F10" s="84">
        <v>488.75</v>
      </c>
      <c r="G10" s="104">
        <v>487.5</v>
      </c>
      <c r="H10" s="104">
        <v>488.75</v>
      </c>
    </row>
    <row r="11" spans="1:12" x14ac:dyDescent="0.35">
      <c r="B11" s="75">
        <v>1</v>
      </c>
      <c r="C11" s="71" t="s">
        <v>136</v>
      </c>
      <c r="D11" s="83" t="str">
        <f>C11&amp;"-"&amp;"BC"&amp;"."&amp;8</f>
        <v>DEBDA0319-T1-BC.8</v>
      </c>
      <c r="E11" s="84">
        <v>487.5</v>
      </c>
      <c r="F11" s="84">
        <v>488.75</v>
      </c>
      <c r="G11" s="104">
        <v>487.5</v>
      </c>
      <c r="H11" s="104">
        <v>488.75</v>
      </c>
    </row>
    <row r="13" spans="1:12" x14ac:dyDescent="0.35">
      <c r="A13" s="69" t="s">
        <v>256</v>
      </c>
    </row>
    <row r="14" spans="1:12" x14ac:dyDescent="0.35">
      <c r="B14" s="78"/>
      <c r="C14" s="77"/>
      <c r="D14" s="77"/>
      <c r="E14" s="249" t="s">
        <v>140</v>
      </c>
      <c r="F14" s="249"/>
      <c r="G14" s="250" t="s">
        <v>145</v>
      </c>
      <c r="H14" s="250"/>
    </row>
    <row r="15" spans="1:12" ht="26" x14ac:dyDescent="0.35">
      <c r="B15" s="10" t="s">
        <v>65</v>
      </c>
      <c r="C15" s="10" t="s">
        <v>104</v>
      </c>
      <c r="D15" s="10" t="s">
        <v>117</v>
      </c>
      <c r="E15" s="10" t="s">
        <v>118</v>
      </c>
      <c r="F15" s="10" t="s">
        <v>122</v>
      </c>
      <c r="G15" s="103" t="s">
        <v>118</v>
      </c>
      <c r="H15" s="103" t="s">
        <v>122</v>
      </c>
    </row>
    <row r="16" spans="1:12" x14ac:dyDescent="0.35">
      <c r="B16" s="75"/>
      <c r="C16" s="71"/>
      <c r="D16" s="83"/>
      <c r="E16" s="168"/>
      <c r="F16" s="167"/>
      <c r="G16" s="104"/>
      <c r="H16" s="104"/>
    </row>
    <row r="22" spans="1:12" x14ac:dyDescent="0.35">
      <c r="A22" s="251" t="s">
        <v>137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</row>
    <row r="24" spans="1:12" s="3" customFormat="1" x14ac:dyDescent="0.35">
      <c r="B24" s="7" t="s">
        <v>0</v>
      </c>
      <c r="C24" s="98" t="s">
        <v>204</v>
      </c>
      <c r="D24" s="4"/>
      <c r="E24" s="4"/>
      <c r="F24" s="4"/>
      <c r="G24" s="5"/>
      <c r="H24" s="4"/>
      <c r="I24" s="6"/>
    </row>
    <row r="25" spans="1:12" s="3" customFormat="1" ht="15" customHeight="1" x14ac:dyDescent="0.35">
      <c r="A25" s="2"/>
      <c r="B25" s="4"/>
      <c r="C25" s="4"/>
      <c r="D25" s="4"/>
      <c r="E25" s="4"/>
      <c r="F25" s="4"/>
      <c r="G25" s="5"/>
      <c r="H25" s="4"/>
      <c r="I25" s="6"/>
    </row>
    <row r="26" spans="1:12" s="3" customFormat="1" ht="59" customHeight="1" x14ac:dyDescent="0.35">
      <c r="A26" s="2"/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9" t="s">
        <v>6</v>
      </c>
      <c r="H26" s="4"/>
      <c r="I26" s="6"/>
    </row>
    <row r="27" spans="1:12" s="3" customFormat="1" ht="15" customHeight="1" x14ac:dyDescent="0.35">
      <c r="A27" s="2"/>
      <c r="B27" s="88">
        <v>46233</v>
      </c>
      <c r="C27" s="89" t="s">
        <v>139</v>
      </c>
      <c r="D27" s="89" t="s">
        <v>63</v>
      </c>
      <c r="E27" s="89" t="s">
        <v>64</v>
      </c>
      <c r="F27" s="39">
        <v>0.625</v>
      </c>
      <c r="G27" s="40">
        <v>0.95833333333333337</v>
      </c>
      <c r="H27" s="6"/>
      <c r="I27" s="6"/>
    </row>
    <row r="28" spans="1:12" s="3" customFormat="1" x14ac:dyDescent="0.35">
      <c r="A28" s="2"/>
      <c r="C28" s="4"/>
      <c r="D28" s="4"/>
      <c r="E28" s="4"/>
      <c r="F28" s="4"/>
      <c r="G28" s="5"/>
      <c r="H28" s="4"/>
      <c r="I28" s="6"/>
    </row>
    <row r="29" spans="1:12" s="3" customFormat="1" x14ac:dyDescent="0.35">
      <c r="A29" s="12">
        <v>1</v>
      </c>
      <c r="B29" s="2" t="s">
        <v>9</v>
      </c>
      <c r="C29" s="4"/>
      <c r="D29" s="4"/>
      <c r="E29" s="4"/>
      <c r="F29" s="4"/>
      <c r="G29" s="5"/>
      <c r="H29" s="4"/>
      <c r="I29" s="6"/>
    </row>
    <row r="30" spans="1:12" s="3" customFormat="1" x14ac:dyDescent="0.35">
      <c r="A30" s="2"/>
      <c r="C30" s="4"/>
    </row>
    <row r="31" spans="1:12" s="3" customFormat="1" ht="15" customHeight="1" x14ac:dyDescent="0.35">
      <c r="A31" s="2"/>
      <c r="D31" s="252" t="s">
        <v>7</v>
      </c>
      <c r="E31" s="253"/>
      <c r="F31" s="254"/>
      <c r="H31" s="255" t="s">
        <v>121</v>
      </c>
      <c r="I31" s="256"/>
      <c r="K31" s="1"/>
    </row>
    <row r="32" spans="1:12" s="3" customFormat="1" ht="14.5" customHeight="1" x14ac:dyDescent="0.35">
      <c r="A32" s="2"/>
      <c r="B32" s="8" t="s">
        <v>260</v>
      </c>
      <c r="C32" s="8" t="s">
        <v>261</v>
      </c>
      <c r="D32" s="10" t="s">
        <v>149</v>
      </c>
      <c r="E32" s="10" t="s">
        <v>150</v>
      </c>
      <c r="F32" s="8" t="s">
        <v>8</v>
      </c>
      <c r="H32" s="8" t="s">
        <v>11</v>
      </c>
      <c r="I32" s="8" t="s">
        <v>12</v>
      </c>
    </row>
    <row r="33" spans="1:12" s="3" customFormat="1" x14ac:dyDescent="0.35">
      <c r="A33" s="90" t="s">
        <v>257</v>
      </c>
      <c r="B33" s="87"/>
      <c r="C33" s="111"/>
      <c r="D33" s="33"/>
      <c r="E33" s="33"/>
      <c r="F33" s="33"/>
      <c r="H33" s="33"/>
      <c r="I33" s="33"/>
    </row>
    <row r="34" spans="1:12" s="3" customFormat="1" ht="29" x14ac:dyDescent="0.35">
      <c r="A34" s="90" t="s">
        <v>259</v>
      </c>
      <c r="B34" s="87" t="str">
        <f>D11</f>
        <v>DEBDA0319-T1-BC.8</v>
      </c>
      <c r="C34" s="111" t="s">
        <v>160</v>
      </c>
      <c r="D34" s="33">
        <f>G11</f>
        <v>487.5</v>
      </c>
      <c r="E34" s="33">
        <f>H11</f>
        <v>488.75</v>
      </c>
      <c r="F34" s="33"/>
      <c r="G34" s="1"/>
      <c r="H34" s="1"/>
      <c r="I34" s="1"/>
      <c r="J34" s="1"/>
      <c r="K34" s="1"/>
    </row>
    <row r="35" spans="1:12" s="3" customFormat="1" ht="29" x14ac:dyDescent="0.35">
      <c r="A35" s="90" t="s">
        <v>259</v>
      </c>
      <c r="B35" s="87"/>
      <c r="C35" s="111"/>
      <c r="D35" s="33"/>
      <c r="E35" s="33"/>
      <c r="F35" s="33"/>
      <c r="G35" s="1"/>
      <c r="H35" s="1"/>
      <c r="I35" s="1"/>
      <c r="J35" s="1"/>
      <c r="K35" s="1"/>
    </row>
    <row r="36" spans="1:12" s="3" customFormat="1" ht="29" x14ac:dyDescent="0.35">
      <c r="A36" s="90" t="s">
        <v>259</v>
      </c>
      <c r="B36" s="87"/>
      <c r="C36" s="111"/>
      <c r="D36" s="33"/>
      <c r="E36" s="33"/>
      <c r="F36" s="33"/>
      <c r="G36" s="1"/>
      <c r="H36" s="1"/>
      <c r="I36" s="1"/>
      <c r="J36" s="1"/>
      <c r="K36" s="1"/>
    </row>
    <row r="37" spans="1:12" s="3" customForma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9" spans="1:12" s="3" customFormat="1" x14ac:dyDescent="0.35">
      <c r="A39" s="12">
        <v>2</v>
      </c>
      <c r="B39" s="2" t="s">
        <v>13</v>
      </c>
      <c r="C39" s="4"/>
      <c r="D39" s="4"/>
      <c r="E39" s="4"/>
      <c r="F39" s="12"/>
      <c r="G39" s="12"/>
      <c r="H39" s="12"/>
      <c r="I39" s="12"/>
      <c r="L39" s="4"/>
    </row>
    <row r="40" spans="1:12" s="3" customFormat="1" x14ac:dyDescent="0.35">
      <c r="A40" s="13"/>
      <c r="B40" s="105" t="s">
        <v>14</v>
      </c>
      <c r="C40" s="16"/>
      <c r="E40" s="4"/>
      <c r="F40" s="17"/>
      <c r="G40" s="17"/>
      <c r="H40" s="17"/>
      <c r="I40" s="17"/>
      <c r="J40" s="17"/>
      <c r="K40" s="17"/>
      <c r="L40" s="17"/>
    </row>
    <row r="41" spans="1:12" s="3" customFormat="1" x14ac:dyDescent="0.35">
      <c r="A41" s="13"/>
      <c r="B41" s="105" t="s">
        <v>16</v>
      </c>
      <c r="C41" s="112"/>
      <c r="D41" s="118" t="s">
        <v>225</v>
      </c>
      <c r="E41" s="18" t="s">
        <v>226</v>
      </c>
      <c r="F41" s="17"/>
      <c r="G41" s="17"/>
      <c r="H41" s="17"/>
      <c r="I41" s="17"/>
      <c r="J41" s="17"/>
      <c r="K41" s="17"/>
      <c r="L41" s="17"/>
    </row>
    <row r="42" spans="1:12" s="3" customFormat="1" x14ac:dyDescent="0.35">
      <c r="A42" s="13"/>
      <c r="B42" s="18"/>
      <c r="C42" s="18"/>
      <c r="D42" s="18"/>
      <c r="E42" s="18"/>
      <c r="F42" s="17"/>
      <c r="G42" s="17"/>
      <c r="H42" s="17"/>
      <c r="I42" s="17"/>
      <c r="J42" s="17"/>
      <c r="K42" s="17"/>
      <c r="L42" s="17"/>
    </row>
    <row r="43" spans="1:12" s="3" customFormat="1" x14ac:dyDescent="0.35">
      <c r="A43" s="13"/>
      <c r="B43" s="20" t="s">
        <v>22</v>
      </c>
      <c r="F43" s="4"/>
      <c r="G43" s="17"/>
      <c r="H43" s="17"/>
      <c r="I43" s="17"/>
      <c r="J43" s="17"/>
      <c r="K43" s="17"/>
      <c r="L43" s="17"/>
    </row>
    <row r="44" spans="1:12" s="3" customFormat="1" x14ac:dyDescent="0.35">
      <c r="B44" s="2" t="s">
        <v>29</v>
      </c>
      <c r="C44" s="8" t="s">
        <v>24</v>
      </c>
      <c r="D44" s="8" t="s">
        <v>25</v>
      </c>
      <c r="E44" s="8" t="s">
        <v>26</v>
      </c>
      <c r="F44" s="8" t="s">
        <v>27</v>
      </c>
      <c r="G44" s="8" t="s">
        <v>28</v>
      </c>
      <c r="H44" s="17"/>
      <c r="I44" s="17"/>
      <c r="J44" s="17"/>
      <c r="K44" s="17"/>
      <c r="L44" s="17"/>
    </row>
    <row r="45" spans="1:12" s="3" customFormat="1" x14ac:dyDescent="0.35">
      <c r="B45" s="4"/>
      <c r="C45" s="14"/>
      <c r="D45" s="22">
        <f>C45*E45</f>
        <v>0</v>
      </c>
      <c r="E45" s="14"/>
      <c r="F45" s="21">
        <v>4.71</v>
      </c>
      <c r="G45" s="106">
        <f>(E45-F45)/F45</f>
        <v>-1</v>
      </c>
      <c r="H45" s="17"/>
      <c r="I45" s="17"/>
      <c r="J45" s="17"/>
      <c r="K45" s="17"/>
      <c r="L45" s="17"/>
    </row>
    <row r="46" spans="1:12" s="3" customFormat="1" x14ac:dyDescent="0.35">
      <c r="A46" s="4"/>
      <c r="H46" s="4"/>
      <c r="I46" s="5"/>
      <c r="J46" s="4"/>
      <c r="K46" s="4"/>
      <c r="L46" s="4"/>
    </row>
    <row r="47" spans="1:12" s="3" customFormat="1" x14ac:dyDescent="0.35">
      <c r="A47" s="13"/>
      <c r="B47" s="105" t="s">
        <v>227</v>
      </c>
      <c r="C47" s="112"/>
      <c r="D47" s="118" t="s">
        <v>225</v>
      </c>
      <c r="E47" s="18" t="s">
        <v>228</v>
      </c>
      <c r="F47" s="17"/>
      <c r="G47" s="17"/>
      <c r="H47" s="17"/>
      <c r="I47" s="17"/>
      <c r="J47" s="17"/>
      <c r="K47" s="17"/>
      <c r="L47" s="17"/>
    </row>
    <row r="48" spans="1:12" s="3" customFormat="1" x14ac:dyDescent="0.35">
      <c r="A48" s="13"/>
      <c r="B48" s="18"/>
      <c r="C48" s="18"/>
      <c r="D48" s="18"/>
      <c r="E48" s="18"/>
      <c r="F48" s="17"/>
      <c r="G48" s="17"/>
      <c r="H48" s="17"/>
      <c r="I48" s="17"/>
      <c r="J48" s="17"/>
      <c r="K48" s="17"/>
      <c r="L48" s="17"/>
    </row>
    <row r="49" spans="1:12" s="3" customFormat="1" x14ac:dyDescent="0.35">
      <c r="A49" s="13"/>
      <c r="B49" s="20" t="s">
        <v>22</v>
      </c>
      <c r="F49" s="4"/>
      <c r="G49" s="17"/>
      <c r="H49" s="17"/>
      <c r="I49" s="17"/>
      <c r="J49" s="17"/>
      <c r="K49" s="17"/>
      <c r="L49" s="17"/>
    </row>
    <row r="50" spans="1:12" s="3" customFormat="1" x14ac:dyDescent="0.35">
      <c r="B50" s="2" t="s">
        <v>29</v>
      </c>
      <c r="C50" s="8" t="s">
        <v>24</v>
      </c>
      <c r="D50" s="8" t="s">
        <v>25</v>
      </c>
      <c r="E50" s="8" t="s">
        <v>26</v>
      </c>
      <c r="F50" s="8" t="s">
        <v>27</v>
      </c>
      <c r="G50" s="8" t="s">
        <v>28</v>
      </c>
      <c r="H50" s="17"/>
      <c r="I50" s="17"/>
      <c r="J50" s="17"/>
      <c r="K50" s="17"/>
      <c r="L50" s="17"/>
    </row>
    <row r="51" spans="1:12" s="3" customFormat="1" x14ac:dyDescent="0.35">
      <c r="B51" s="4"/>
      <c r="C51" s="14"/>
      <c r="D51" s="22">
        <f>C51*E51</f>
        <v>0</v>
      </c>
      <c r="E51" s="14"/>
      <c r="F51" s="21">
        <v>4.71</v>
      </c>
      <c r="G51" s="106">
        <f>(E51-F51)/F51</f>
        <v>-1</v>
      </c>
      <c r="H51" s="17"/>
      <c r="I51" s="17"/>
      <c r="J51" s="17"/>
      <c r="K51" s="17"/>
      <c r="L51" s="17"/>
    </row>
    <row r="52" spans="1:12" s="3" customFormat="1" x14ac:dyDescent="0.35">
      <c r="A52" s="4"/>
      <c r="H52" s="4"/>
      <c r="I52" s="5"/>
      <c r="J52" s="4"/>
      <c r="K52" s="4"/>
      <c r="L52" s="4"/>
    </row>
    <row r="53" spans="1:12" s="3" customFormat="1" x14ac:dyDescent="0.35">
      <c r="A53" s="13"/>
      <c r="B53" s="105" t="s">
        <v>229</v>
      </c>
      <c r="C53" s="112"/>
      <c r="D53" s="118" t="s">
        <v>225</v>
      </c>
      <c r="E53" s="18" t="s">
        <v>230</v>
      </c>
      <c r="F53" s="17"/>
      <c r="G53" s="17"/>
      <c r="H53" s="17"/>
      <c r="I53" s="17"/>
      <c r="J53" s="17"/>
      <c r="K53" s="17"/>
      <c r="L53" s="17"/>
    </row>
    <row r="54" spans="1:12" s="3" customFormat="1" x14ac:dyDescent="0.35">
      <c r="A54" s="13"/>
      <c r="B54" s="18"/>
      <c r="C54" s="18"/>
      <c r="D54" s="18"/>
      <c r="E54" s="18"/>
      <c r="F54" s="17"/>
      <c r="G54" s="17"/>
      <c r="H54" s="17"/>
      <c r="I54" s="17"/>
      <c r="J54" s="17"/>
      <c r="K54" s="17"/>
      <c r="L54" s="17"/>
    </row>
    <row r="55" spans="1:12" s="3" customFormat="1" x14ac:dyDescent="0.35">
      <c r="A55" s="13"/>
      <c r="B55" s="20" t="s">
        <v>22</v>
      </c>
      <c r="F55" s="4"/>
      <c r="G55" s="17"/>
      <c r="H55" s="17"/>
      <c r="I55" s="17"/>
      <c r="J55" s="17"/>
      <c r="K55" s="17"/>
      <c r="L55" s="17"/>
    </row>
    <row r="56" spans="1:12" s="3" customFormat="1" x14ac:dyDescent="0.35">
      <c r="B56" s="2" t="s">
        <v>29</v>
      </c>
      <c r="C56" s="8" t="s">
        <v>24</v>
      </c>
      <c r="D56" s="8" t="s">
        <v>25</v>
      </c>
      <c r="E56" s="8" t="s">
        <v>26</v>
      </c>
      <c r="F56" s="8" t="s">
        <v>27</v>
      </c>
      <c r="G56" s="8" t="s">
        <v>28</v>
      </c>
      <c r="H56" s="17"/>
      <c r="I56" s="17"/>
      <c r="J56" s="17"/>
      <c r="K56" s="17"/>
      <c r="L56" s="17"/>
    </row>
    <row r="57" spans="1:12" s="3" customFormat="1" x14ac:dyDescent="0.35">
      <c r="B57" s="4"/>
      <c r="C57" s="14"/>
      <c r="D57" s="22">
        <f>C57*E57</f>
        <v>0</v>
      </c>
      <c r="E57" s="14"/>
      <c r="F57" s="21">
        <v>4.71</v>
      </c>
      <c r="G57" s="106">
        <f>(E57-F57)/F57</f>
        <v>-1</v>
      </c>
      <c r="H57" s="17"/>
      <c r="I57" s="17"/>
      <c r="J57" s="17"/>
      <c r="K57" s="17"/>
      <c r="L57" s="17"/>
    </row>
    <row r="58" spans="1:12" s="3" customFormat="1" x14ac:dyDescent="0.35">
      <c r="A58" s="4"/>
      <c r="H58" s="4"/>
      <c r="I58" s="5"/>
      <c r="J58" s="4"/>
      <c r="K58" s="4"/>
      <c r="L58" s="4"/>
    </row>
    <row r="59" spans="1:12" s="3" customFormat="1" x14ac:dyDescent="0.35">
      <c r="A59" s="13"/>
      <c r="B59" s="105" t="s">
        <v>231</v>
      </c>
      <c r="C59" s="112"/>
      <c r="D59" s="118" t="s">
        <v>225</v>
      </c>
      <c r="E59" s="18" t="s">
        <v>232</v>
      </c>
      <c r="F59" s="17"/>
      <c r="G59" s="17"/>
      <c r="H59" s="17"/>
      <c r="I59" s="17"/>
      <c r="J59" s="17"/>
      <c r="K59" s="17"/>
      <c r="L59" s="17"/>
    </row>
    <row r="60" spans="1:12" s="3" customFormat="1" x14ac:dyDescent="0.35">
      <c r="A60" s="13"/>
      <c r="B60" s="18"/>
      <c r="C60" s="18"/>
      <c r="D60" s="18"/>
      <c r="E60" s="18"/>
      <c r="F60" s="17"/>
      <c r="G60" s="17"/>
      <c r="H60" s="17"/>
      <c r="I60" s="17"/>
      <c r="J60" s="17"/>
      <c r="K60" s="17"/>
      <c r="L60" s="17"/>
    </row>
    <row r="61" spans="1:12" s="3" customFormat="1" x14ac:dyDescent="0.35">
      <c r="A61" s="13"/>
      <c r="B61" s="20" t="s">
        <v>22</v>
      </c>
      <c r="F61" s="4"/>
      <c r="G61" s="17"/>
      <c r="H61" s="17"/>
      <c r="I61" s="17"/>
      <c r="J61" s="17"/>
      <c r="K61" s="17"/>
      <c r="L61" s="17"/>
    </row>
    <row r="62" spans="1:12" s="3" customFormat="1" x14ac:dyDescent="0.35">
      <c r="B62" s="2" t="s">
        <v>29</v>
      </c>
      <c r="C62" s="8" t="s">
        <v>24</v>
      </c>
      <c r="D62" s="8" t="s">
        <v>25</v>
      </c>
      <c r="E62" s="8" t="s">
        <v>26</v>
      </c>
      <c r="F62" s="8" t="s">
        <v>27</v>
      </c>
      <c r="G62" s="8" t="s">
        <v>28</v>
      </c>
      <c r="H62" s="17"/>
      <c r="I62" s="17"/>
      <c r="J62" s="17"/>
      <c r="K62" s="17"/>
      <c r="L62" s="17"/>
    </row>
    <row r="63" spans="1:12" s="3" customFormat="1" x14ac:dyDescent="0.35">
      <c r="B63" s="4"/>
      <c r="C63" s="14"/>
      <c r="D63" s="22">
        <f>C63*E63</f>
        <v>0</v>
      </c>
      <c r="E63" s="14"/>
      <c r="F63" s="21">
        <v>4.71</v>
      </c>
      <c r="G63" s="106">
        <f>(E63-F63)/F63</f>
        <v>-1</v>
      </c>
      <c r="H63" s="17"/>
      <c r="I63" s="17"/>
      <c r="J63" s="17"/>
      <c r="K63" s="17"/>
      <c r="L63" s="17"/>
    </row>
    <row r="64" spans="1:12" s="3" customFormat="1" x14ac:dyDescent="0.35">
      <c r="A64" s="4"/>
      <c r="H64" s="4"/>
      <c r="I64" s="5"/>
      <c r="J64" s="4"/>
      <c r="K64" s="4"/>
      <c r="L64" s="4"/>
    </row>
    <row r="65" spans="1:12" s="3" customFormat="1" x14ac:dyDescent="0.35">
      <c r="A65" s="4"/>
      <c r="H65" s="4"/>
      <c r="I65" s="5"/>
      <c r="J65" s="4"/>
      <c r="K65" s="4"/>
      <c r="L65" s="4"/>
    </row>
    <row r="66" spans="1:12" s="115" customFormat="1" x14ac:dyDescent="0.35">
      <c r="B66" s="129" t="s">
        <v>17</v>
      </c>
      <c r="C66" s="1"/>
      <c r="D66" s="1"/>
      <c r="E66" s="1"/>
      <c r="F66" s="1"/>
      <c r="G66" s="116"/>
      <c r="H66" s="116"/>
      <c r="I66" s="116"/>
      <c r="J66" s="116"/>
      <c r="K66" s="116"/>
      <c r="L66" s="116"/>
    </row>
    <row r="67" spans="1:12" s="115" customFormat="1" x14ac:dyDescent="0.35">
      <c r="B67" s="129" t="s">
        <v>18</v>
      </c>
      <c r="C67" s="117" t="s">
        <v>19</v>
      </c>
      <c r="D67" s="118" t="s">
        <v>15</v>
      </c>
      <c r="E67" s="119" t="s">
        <v>20</v>
      </c>
      <c r="F67" s="1"/>
      <c r="G67" s="116"/>
      <c r="H67" s="116"/>
      <c r="I67" s="116"/>
      <c r="J67" s="116"/>
      <c r="K67" s="116"/>
      <c r="L67" s="116"/>
    </row>
    <row r="68" spans="1:12" s="115" customFormat="1" x14ac:dyDescent="0.35">
      <c r="B68" s="105" t="s">
        <v>16</v>
      </c>
      <c r="C68" s="112" t="s">
        <v>166</v>
      </c>
      <c r="D68" s="1"/>
      <c r="E68" s="1"/>
      <c r="F68" s="1"/>
      <c r="G68" s="116"/>
      <c r="H68" s="116"/>
      <c r="I68" s="116"/>
      <c r="J68" s="116"/>
      <c r="K68" s="116"/>
      <c r="L68" s="116"/>
    </row>
    <row r="69" spans="1:12" s="115" customFormat="1" x14ac:dyDescent="0.35">
      <c r="C69" s="1"/>
      <c r="D69" s="1"/>
      <c r="E69" s="1"/>
      <c r="F69" s="1"/>
      <c r="G69" s="116"/>
      <c r="H69" s="116"/>
      <c r="I69" s="116"/>
      <c r="J69" s="116"/>
      <c r="K69" s="116"/>
      <c r="L69" s="116"/>
    </row>
    <row r="70" spans="1:12" s="115" customFormat="1" x14ac:dyDescent="0.35">
      <c r="A70" s="1"/>
      <c r="B70" s="1"/>
      <c r="C70" s="120" t="s">
        <v>21</v>
      </c>
      <c r="D70" s="120" t="s">
        <v>22</v>
      </c>
      <c r="E70" s="1"/>
      <c r="F70" s="1"/>
      <c r="G70" s="121"/>
      <c r="H70" s="1"/>
      <c r="I70" s="121"/>
      <c r="J70" s="1"/>
      <c r="K70" s="1"/>
      <c r="L70" s="1"/>
    </row>
    <row r="71" spans="1:12" s="115" customFormat="1" x14ac:dyDescent="0.35">
      <c r="A71" s="1"/>
      <c r="B71" s="1"/>
      <c r="C71" s="1"/>
      <c r="D71" s="1"/>
      <c r="E71" s="1"/>
      <c r="F71" s="1"/>
      <c r="G71" s="121"/>
      <c r="H71" s="1"/>
      <c r="I71" s="121"/>
      <c r="J71" s="1"/>
      <c r="K71" s="1"/>
      <c r="L71" s="1"/>
    </row>
    <row r="72" spans="1:12" s="115" customFormat="1" x14ac:dyDescent="0.35">
      <c r="A72" s="1"/>
      <c r="B72" s="122" t="s">
        <v>23</v>
      </c>
      <c r="C72" s="123" t="s">
        <v>24</v>
      </c>
      <c r="D72" s="123" t="s">
        <v>25</v>
      </c>
      <c r="E72" s="123" t="s">
        <v>26</v>
      </c>
      <c r="F72" s="123" t="s">
        <v>27</v>
      </c>
      <c r="G72" s="123" t="s">
        <v>28</v>
      </c>
      <c r="H72" s="124" t="s">
        <v>165</v>
      </c>
      <c r="I72" s="121"/>
      <c r="J72" s="1"/>
      <c r="K72" s="1"/>
      <c r="L72" s="1"/>
    </row>
    <row r="73" spans="1:12" s="115" customFormat="1" x14ac:dyDescent="0.35">
      <c r="A73" s="1"/>
      <c r="B73" s="1"/>
      <c r="C73" s="94"/>
      <c r="D73" s="94"/>
      <c r="E73" s="125"/>
      <c r="F73" s="126"/>
      <c r="G73" s="127"/>
      <c r="H73" s="1"/>
      <c r="I73" s="121"/>
      <c r="J73" s="1"/>
      <c r="K73" s="1"/>
      <c r="L73" s="1"/>
    </row>
    <row r="74" spans="1:12" s="115" customFormat="1" x14ac:dyDescent="0.35">
      <c r="A74" s="1"/>
      <c r="B74" s="1"/>
      <c r="C74" s="1"/>
      <c r="D74" s="1"/>
      <c r="E74" s="1"/>
      <c r="F74" s="1"/>
      <c r="G74" s="121"/>
      <c r="H74" s="1"/>
      <c r="I74" s="121"/>
      <c r="J74" s="1"/>
      <c r="K74" s="1"/>
      <c r="L74" s="1"/>
    </row>
    <row r="75" spans="1:12" s="115" customFormat="1" x14ac:dyDescent="0.35">
      <c r="A75" s="1"/>
      <c r="B75" s="122" t="s">
        <v>29</v>
      </c>
      <c r="C75" s="123" t="s">
        <v>24</v>
      </c>
      <c r="D75" s="123" t="s">
        <v>25</v>
      </c>
      <c r="E75" s="123" t="s">
        <v>26</v>
      </c>
      <c r="F75" s="123" t="s">
        <v>27</v>
      </c>
      <c r="G75" s="123" t="s">
        <v>28</v>
      </c>
      <c r="H75" s="1"/>
      <c r="I75" s="121"/>
      <c r="J75" s="1"/>
      <c r="K75" s="1"/>
      <c r="L75" s="1"/>
    </row>
    <row r="76" spans="1:12" s="115" customFormat="1" x14ac:dyDescent="0.35">
      <c r="A76" s="1"/>
      <c r="B76" s="1"/>
      <c r="C76" s="94"/>
      <c r="D76" s="128"/>
      <c r="E76" s="94"/>
      <c r="F76" s="126"/>
      <c r="G76" s="127"/>
      <c r="H76" s="1"/>
      <c r="I76" s="121"/>
      <c r="J76" s="1"/>
      <c r="K76" s="1"/>
      <c r="L76" s="1"/>
    </row>
    <row r="77" spans="1:12" s="3" customFormat="1" x14ac:dyDescent="0.35">
      <c r="A77" s="4"/>
      <c r="H77" s="4"/>
      <c r="I77" s="5"/>
      <c r="J77" s="4"/>
      <c r="K77" s="4"/>
      <c r="L77" s="4"/>
    </row>
    <row r="78" spans="1:12" s="3" customFormat="1" x14ac:dyDescent="0.35">
      <c r="A78" s="4"/>
      <c r="H78" s="4"/>
      <c r="I78" s="5"/>
      <c r="J78" s="4"/>
      <c r="K78" s="4"/>
      <c r="L78" s="4"/>
    </row>
    <row r="79" spans="1:12" s="3" customFormat="1" x14ac:dyDescent="0.35">
      <c r="A79" s="12">
        <v>3</v>
      </c>
      <c r="B79" s="2" t="s">
        <v>30</v>
      </c>
      <c r="C79" s="4"/>
      <c r="D79" s="4"/>
      <c r="E79" s="4"/>
      <c r="F79" s="4"/>
      <c r="G79" s="5"/>
      <c r="H79" s="4"/>
      <c r="I79" s="5"/>
      <c r="J79" s="4"/>
      <c r="K79" s="4"/>
      <c r="L79" s="4"/>
    </row>
    <row r="80" spans="1:12" s="3" customFormat="1" x14ac:dyDescent="0.35">
      <c r="A80" s="12"/>
      <c r="B80" s="2" t="s">
        <v>31</v>
      </c>
      <c r="C80" s="4"/>
      <c r="D80" s="4"/>
      <c r="E80" s="4"/>
      <c r="F80" s="4"/>
      <c r="G80" s="5"/>
      <c r="H80" s="4"/>
      <c r="I80" s="5"/>
      <c r="J80" s="4"/>
      <c r="K80" s="4"/>
      <c r="L80" s="4"/>
    </row>
    <row r="81" spans="1:12" s="3" customFormat="1" x14ac:dyDescent="0.35">
      <c r="A81" s="12"/>
      <c r="B81" s="23" t="s">
        <v>32</v>
      </c>
      <c r="C81" s="16">
        <f>C40</f>
        <v>0</v>
      </c>
      <c r="D81" s="4"/>
      <c r="E81" s="4"/>
      <c r="F81" s="4"/>
      <c r="G81" s="5"/>
      <c r="H81" s="4"/>
      <c r="I81" s="5"/>
      <c r="J81" s="4"/>
      <c r="K81" s="4"/>
      <c r="L81" s="4"/>
    </row>
    <row r="82" spans="1:12" s="3" customFormat="1" x14ac:dyDescent="0.35">
      <c r="A82" s="13"/>
      <c r="B82" s="8" t="s">
        <v>33</v>
      </c>
      <c r="C82" s="8" t="s">
        <v>34</v>
      </c>
      <c r="D82" s="8" t="s">
        <v>35</v>
      </c>
      <c r="E82" s="8" t="s">
        <v>36</v>
      </c>
      <c r="F82" s="8" t="s">
        <v>26</v>
      </c>
      <c r="G82" s="8" t="s">
        <v>37</v>
      </c>
      <c r="H82" s="8" t="s">
        <v>38</v>
      </c>
      <c r="I82" s="5"/>
      <c r="J82" s="4"/>
      <c r="K82" s="4"/>
      <c r="L82" s="4"/>
    </row>
    <row r="83" spans="1:12" s="3" customFormat="1" x14ac:dyDescent="0.35">
      <c r="A83" s="13"/>
      <c r="B83" s="12">
        <v>1</v>
      </c>
      <c r="C83" s="15"/>
      <c r="D83" s="15"/>
      <c r="E83" s="15"/>
      <c r="F83" s="24"/>
      <c r="G83" s="114" t="str">
        <f>$C$81&amp;"-"&amp;"KW 2"&amp;"- 01"</f>
        <v>0-KW 2- 01</v>
      </c>
      <c r="H83" s="14"/>
      <c r="I83" s="5"/>
      <c r="J83" s="4"/>
      <c r="K83" s="4"/>
      <c r="L83" s="4"/>
    </row>
    <row r="84" spans="1:12" s="3" customFormat="1" x14ac:dyDescent="0.35">
      <c r="A84" s="13"/>
      <c r="B84" s="12">
        <v>2</v>
      </c>
      <c r="C84" s="14"/>
      <c r="D84" s="14"/>
      <c r="E84" s="14"/>
      <c r="F84" s="24"/>
      <c r="G84" s="114" t="str">
        <f>$C$81&amp;"-"&amp;"KW 2"&amp;"- 02"</f>
        <v>0-KW 2- 02</v>
      </c>
      <c r="H84" s="14"/>
      <c r="I84" s="5"/>
      <c r="J84" s="4"/>
      <c r="K84" s="4"/>
      <c r="L84" s="4"/>
    </row>
    <row r="85" spans="1:12" s="3" customFormat="1" x14ac:dyDescent="0.35">
      <c r="A85" s="13"/>
      <c r="B85" s="12">
        <v>3</v>
      </c>
      <c r="C85" s="14"/>
      <c r="D85" s="14"/>
      <c r="E85" s="14"/>
      <c r="F85" s="24"/>
      <c r="G85" s="114" t="str">
        <f>$C$81&amp;"-"&amp;"KW 2"&amp;"- 03"</f>
        <v>0-KW 2- 03</v>
      </c>
      <c r="H85" s="14"/>
      <c r="I85" s="5"/>
      <c r="J85" s="4"/>
      <c r="K85" s="4"/>
      <c r="L85" s="4"/>
    </row>
    <row r="86" spans="1:12" s="3" customFormat="1" x14ac:dyDescent="0.35">
      <c r="A86" s="13"/>
      <c r="B86" s="4"/>
      <c r="C86" s="4"/>
      <c r="D86" s="4"/>
      <c r="E86" s="4"/>
      <c r="F86" s="4"/>
      <c r="G86" s="5"/>
      <c r="H86" s="4"/>
      <c r="I86" s="5"/>
      <c r="J86" s="4"/>
      <c r="K86" s="4"/>
      <c r="L86" s="4"/>
    </row>
    <row r="87" spans="1:12" s="3" customFormat="1" x14ac:dyDescent="0.35">
      <c r="A87" s="12"/>
      <c r="B87" s="2" t="s">
        <v>39</v>
      </c>
      <c r="C87" s="4"/>
      <c r="D87" s="4"/>
      <c r="E87" s="4"/>
      <c r="F87" s="4"/>
      <c r="G87" s="5"/>
      <c r="H87" s="4"/>
      <c r="I87" s="5"/>
      <c r="J87" s="4"/>
      <c r="K87" s="4"/>
      <c r="L87" s="4"/>
    </row>
    <row r="88" spans="1:12" s="3" customFormat="1" x14ac:dyDescent="0.35">
      <c r="A88" s="12"/>
      <c r="B88" s="23" t="s">
        <v>32</v>
      </c>
      <c r="C88" s="19" t="s">
        <v>19</v>
      </c>
      <c r="D88" s="4"/>
      <c r="E88" s="4"/>
      <c r="F88" s="4"/>
      <c r="G88" s="5"/>
      <c r="H88" s="4"/>
      <c r="I88" s="5"/>
      <c r="J88" s="4"/>
      <c r="K88" s="4"/>
      <c r="L88" s="4"/>
    </row>
    <row r="89" spans="1:12" s="3" customFormat="1" x14ac:dyDescent="0.35">
      <c r="A89" s="13"/>
      <c r="B89" s="8" t="s">
        <v>33</v>
      </c>
      <c r="C89" s="8" t="s">
        <v>34</v>
      </c>
      <c r="D89" s="8" t="s">
        <v>35</v>
      </c>
      <c r="E89" s="8" t="s">
        <v>36</v>
      </c>
      <c r="F89" s="8" t="s">
        <v>26</v>
      </c>
      <c r="G89" s="8" t="s">
        <v>37</v>
      </c>
      <c r="H89" s="8" t="s">
        <v>38</v>
      </c>
      <c r="I89" s="26" t="s">
        <v>40</v>
      </c>
      <c r="J89" s="4"/>
      <c r="K89" s="4"/>
      <c r="L89" s="4"/>
    </row>
    <row r="90" spans="1:12" s="3" customFormat="1" x14ac:dyDescent="0.35">
      <c r="A90" s="13"/>
      <c r="B90" s="12">
        <v>1</v>
      </c>
      <c r="C90" s="14"/>
      <c r="D90" s="14"/>
      <c r="E90" s="14"/>
      <c r="F90" s="24"/>
      <c r="G90" s="25"/>
      <c r="H90" s="14"/>
      <c r="I90" s="5"/>
      <c r="J90" s="4"/>
      <c r="K90" s="4"/>
      <c r="L90" s="4"/>
    </row>
    <row r="91" spans="1:12" s="3" customFormat="1" x14ac:dyDescent="0.35">
      <c r="A91" s="13"/>
      <c r="B91" s="12">
        <v>2</v>
      </c>
      <c r="C91" s="14"/>
      <c r="D91" s="14"/>
      <c r="E91" s="14"/>
      <c r="F91" s="24"/>
      <c r="G91" s="25"/>
      <c r="H91" s="14"/>
      <c r="I91" s="5"/>
      <c r="J91" s="4"/>
      <c r="K91" s="4"/>
      <c r="L91" s="4"/>
    </row>
    <row r="92" spans="1:12" s="3" customFormat="1" x14ac:dyDescent="0.35">
      <c r="A92" s="13"/>
      <c r="B92" s="4"/>
      <c r="C92" s="4"/>
      <c r="D92" s="4"/>
      <c r="E92" s="4"/>
      <c r="F92" s="4"/>
      <c r="G92" s="5"/>
      <c r="H92" s="4"/>
      <c r="I92" s="5"/>
      <c r="J92" s="4"/>
      <c r="K92" s="4"/>
      <c r="L92" s="4"/>
    </row>
    <row r="93" spans="1:12" s="3" customFormat="1" x14ac:dyDescent="0.35">
      <c r="A93" s="12">
        <v>4</v>
      </c>
      <c r="B93" s="2" t="s">
        <v>41</v>
      </c>
      <c r="C93" s="4"/>
      <c r="D93" s="4"/>
      <c r="E93" s="4"/>
      <c r="F93" s="4"/>
      <c r="G93" s="5"/>
      <c r="H93" s="4"/>
      <c r="I93" s="5"/>
      <c r="J93" s="4"/>
      <c r="K93" s="4"/>
      <c r="L93" s="4"/>
    </row>
    <row r="94" spans="1:12" s="3" customFormat="1" x14ac:dyDescent="0.35">
      <c r="A94" s="12"/>
      <c r="B94" s="7" t="s">
        <v>233</v>
      </c>
      <c r="C94" s="98">
        <f>D14</f>
        <v>0</v>
      </c>
      <c r="D94" s="4"/>
      <c r="E94" s="4"/>
      <c r="F94" s="4"/>
      <c r="G94" s="5"/>
      <c r="H94" s="4"/>
      <c r="I94" s="5"/>
      <c r="J94" s="4"/>
      <c r="K94" s="4"/>
      <c r="L94" s="4"/>
    </row>
    <row r="95" spans="1:12" s="3" customFormat="1" x14ac:dyDescent="0.35">
      <c r="A95" s="13"/>
      <c r="B95" s="7" t="s">
        <v>235</v>
      </c>
      <c r="C95" s="91"/>
      <c r="D95" s="27" t="s">
        <v>234</v>
      </c>
      <c r="E95" s="166"/>
      <c r="F95" s="4"/>
      <c r="G95" s="4"/>
      <c r="H95" s="166"/>
      <c r="I95" s="5"/>
      <c r="J95" s="4"/>
      <c r="K95" s="4"/>
      <c r="L95" s="4"/>
    </row>
    <row r="96" spans="1:12" s="3" customFormat="1" x14ac:dyDescent="0.35">
      <c r="A96" s="13"/>
      <c r="B96" s="7"/>
      <c r="C96" s="7"/>
      <c r="D96" s="27"/>
      <c r="E96" s="4"/>
      <c r="F96" s="4"/>
      <c r="G96" s="4"/>
      <c r="H96" s="4"/>
      <c r="I96" s="5"/>
      <c r="J96" s="4"/>
      <c r="K96" s="4"/>
      <c r="L96" s="4"/>
    </row>
    <row r="97" spans="1:12" s="3" customFormat="1" x14ac:dyDescent="0.35">
      <c r="A97" s="13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</row>
    <row r="98" spans="1:12" s="3" customFormat="1" x14ac:dyDescent="0.35">
      <c r="A98" s="12">
        <v>5</v>
      </c>
      <c r="B98" s="2" t="s">
        <v>42</v>
      </c>
      <c r="C98" s="4"/>
      <c r="D98" s="4"/>
      <c r="E98" s="4"/>
      <c r="F98" s="4"/>
      <c r="G98" s="5"/>
      <c r="H98" s="4"/>
      <c r="I98" s="5"/>
      <c r="J98" s="4"/>
      <c r="K98" s="4"/>
      <c r="L98" s="4"/>
    </row>
    <row r="99" spans="1:12" s="3" customFormat="1" x14ac:dyDescent="0.35">
      <c r="A99" s="13"/>
      <c r="B99" s="7" t="s">
        <v>236</v>
      </c>
      <c r="C99" s="98" t="str">
        <f>B34</f>
        <v>DEBDA0319-T1-BC.8</v>
      </c>
      <c r="D99" s="4"/>
      <c r="E99" s="4"/>
      <c r="F99" s="4"/>
      <c r="G99" s="5"/>
      <c r="H99" s="4"/>
      <c r="I99" s="5"/>
      <c r="J99" s="4"/>
      <c r="K99" s="4"/>
      <c r="L99" s="4"/>
    </row>
    <row r="100" spans="1:12" s="3" customFormat="1" x14ac:dyDescent="0.35">
      <c r="A100" s="13"/>
      <c r="B100" s="7" t="s">
        <v>238</v>
      </c>
      <c r="C100" s="91">
        <v>520.5</v>
      </c>
      <c r="D100" s="27" t="s">
        <v>239</v>
      </c>
      <c r="E100" s="4"/>
      <c r="F100" s="4"/>
      <c r="G100" s="5"/>
      <c r="H100" s="4"/>
      <c r="I100" s="5"/>
      <c r="J100" s="4"/>
      <c r="K100" s="4"/>
      <c r="L100" s="4"/>
    </row>
    <row r="101" spans="1:12" s="3" customFormat="1" x14ac:dyDescent="0.35">
      <c r="A101" s="13"/>
      <c r="B101" s="4"/>
      <c r="C101" s="4"/>
      <c r="D101" s="80"/>
      <c r="E101" s="4"/>
      <c r="F101" s="4"/>
      <c r="G101" s="5"/>
      <c r="H101" s="4"/>
      <c r="I101" s="5"/>
      <c r="J101" s="4"/>
      <c r="K101" s="4"/>
      <c r="L101" s="4"/>
    </row>
    <row r="102" spans="1:12" s="3" customFormat="1" x14ac:dyDescent="0.35">
      <c r="A102" s="13"/>
      <c r="B102" s="4"/>
      <c r="C102" s="4"/>
      <c r="D102" s="80"/>
      <c r="E102" s="4"/>
      <c r="F102" s="4"/>
      <c r="G102" s="5"/>
      <c r="H102" s="4"/>
      <c r="I102" s="5"/>
      <c r="J102" s="4"/>
      <c r="K102" s="4"/>
      <c r="L102" s="4"/>
    </row>
    <row r="103" spans="1:12" s="3" customFormat="1" x14ac:dyDescent="0.35">
      <c r="A103" s="12">
        <v>6</v>
      </c>
      <c r="B103" s="2" t="s">
        <v>161</v>
      </c>
      <c r="C103" s="4"/>
      <c r="D103" s="4"/>
      <c r="E103" s="4"/>
      <c r="F103" s="4"/>
      <c r="G103" s="5"/>
      <c r="H103" s="4"/>
      <c r="I103" s="5"/>
      <c r="J103" s="4"/>
      <c r="K103" s="4"/>
      <c r="L103" s="4"/>
    </row>
    <row r="104" spans="1:12" s="3" customFormat="1" x14ac:dyDescent="0.35">
      <c r="A104" s="13"/>
      <c r="C104" s="8" t="s">
        <v>43</v>
      </c>
      <c r="D104" s="8" t="s">
        <v>52</v>
      </c>
      <c r="E104" s="8" t="s">
        <v>48</v>
      </c>
      <c r="F104" s="4"/>
      <c r="G104" s="5"/>
      <c r="H104" s="4"/>
      <c r="I104" s="5"/>
      <c r="J104" s="4"/>
      <c r="K104" s="4"/>
      <c r="L104" s="4"/>
    </row>
    <row r="105" spans="1:12" s="3" customFormat="1" x14ac:dyDescent="0.35">
      <c r="A105" s="13"/>
      <c r="C105" s="15">
        <v>0</v>
      </c>
      <c r="D105" s="15">
        <v>0</v>
      </c>
      <c r="E105" s="15">
        <v>0</v>
      </c>
      <c r="F105" s="4"/>
      <c r="G105" s="5"/>
      <c r="H105" s="4"/>
      <c r="I105" s="5"/>
      <c r="J105" s="4"/>
      <c r="K105" s="4"/>
      <c r="L105" s="4"/>
    </row>
    <row r="106" spans="1:12" s="3" customFormat="1" x14ac:dyDescent="0.35">
      <c r="A106" s="13"/>
      <c r="B106" s="4"/>
      <c r="C106" s="4"/>
      <c r="D106" s="4"/>
      <c r="E106" s="4"/>
      <c r="F106" s="4"/>
      <c r="G106" s="5"/>
      <c r="H106" s="4"/>
      <c r="I106" s="5"/>
      <c r="J106" s="4"/>
      <c r="K106" s="4"/>
      <c r="L106" s="4"/>
    </row>
    <row r="107" spans="1:12" s="3" customFormat="1" x14ac:dyDescent="0.35">
      <c r="A107" s="12"/>
      <c r="C107" s="257" t="s">
        <v>162</v>
      </c>
      <c r="D107" s="257"/>
      <c r="E107" s="257"/>
      <c r="F107" s="4"/>
      <c r="G107" s="5"/>
      <c r="H107" s="4"/>
      <c r="I107" s="5"/>
      <c r="J107" s="4"/>
      <c r="K107" s="4"/>
      <c r="L107" s="4"/>
    </row>
    <row r="108" spans="1:12" s="3" customFormat="1" x14ac:dyDescent="0.35">
      <c r="A108" s="13"/>
      <c r="B108" s="4"/>
      <c r="C108" s="8" t="s">
        <v>44</v>
      </c>
      <c r="D108" s="8" t="s">
        <v>47</v>
      </c>
      <c r="E108" s="8" t="s">
        <v>38</v>
      </c>
      <c r="F108" s="4"/>
      <c r="G108" s="5"/>
      <c r="H108" s="4"/>
      <c r="I108" s="5"/>
      <c r="J108" s="4"/>
      <c r="K108" s="4"/>
      <c r="L108" s="4"/>
    </row>
    <row r="109" spans="1:12" s="3" customFormat="1" x14ac:dyDescent="0.35">
      <c r="A109" s="13"/>
      <c r="B109" s="7" t="s">
        <v>45</v>
      </c>
      <c r="C109" s="14">
        <v>0</v>
      </c>
      <c r="D109" s="14"/>
      <c r="E109" s="14"/>
      <c r="F109" s="4"/>
      <c r="G109" s="5"/>
      <c r="H109" s="4"/>
      <c r="I109" s="5"/>
      <c r="J109" s="4"/>
      <c r="K109" s="4"/>
      <c r="L109" s="4"/>
    </row>
    <row r="110" spans="1:12" s="3" customFormat="1" x14ac:dyDescent="0.35">
      <c r="A110" s="13"/>
      <c r="B110" s="7" t="s">
        <v>46</v>
      </c>
      <c r="C110" s="14">
        <v>0</v>
      </c>
      <c r="D110" s="14">
        <v>0</v>
      </c>
      <c r="E110" s="14"/>
      <c r="F110" s="4"/>
      <c r="G110" s="5"/>
      <c r="H110" s="4"/>
      <c r="I110" s="5"/>
      <c r="J110" s="4"/>
      <c r="K110" s="4"/>
      <c r="L110" s="4"/>
    </row>
    <row r="111" spans="1:12" s="3" customFormat="1" x14ac:dyDescent="0.35">
      <c r="A111" s="13"/>
      <c r="B111" s="4"/>
      <c r="C111" s="4"/>
      <c r="D111" s="4"/>
      <c r="E111" s="4"/>
      <c r="F111" s="4"/>
      <c r="G111" s="5"/>
      <c r="H111" s="4"/>
      <c r="I111" s="5"/>
      <c r="J111" s="4"/>
      <c r="K111" s="4"/>
      <c r="L111" s="4"/>
    </row>
    <row r="112" spans="1:12" s="3" customFormat="1" x14ac:dyDescent="0.35">
      <c r="A112" s="12"/>
      <c r="B112" s="7" t="s">
        <v>163</v>
      </c>
      <c r="C112" s="113">
        <f>SUM(C105:E105,C109:D110)</f>
        <v>0</v>
      </c>
      <c r="D112" s="4"/>
      <c r="E112" s="4"/>
      <c r="F112" s="4"/>
      <c r="G112" s="5"/>
      <c r="H112" s="4"/>
      <c r="I112" s="5"/>
      <c r="J112" s="4"/>
      <c r="K112" s="4"/>
      <c r="L112" s="4"/>
    </row>
    <row r="113" spans="1:33" s="3" customFormat="1" x14ac:dyDescent="0.35">
      <c r="A113" s="13"/>
      <c r="E113" s="4"/>
      <c r="F113" s="4"/>
      <c r="G113" s="5"/>
      <c r="H113" s="4"/>
      <c r="I113" s="5"/>
      <c r="J113" s="4"/>
      <c r="K113" s="4"/>
      <c r="L113" s="4"/>
    </row>
    <row r="114" spans="1:33" s="3" customFormat="1" x14ac:dyDescent="0.35">
      <c r="A114" s="13"/>
      <c r="B114" s="4"/>
      <c r="C114" s="4"/>
      <c r="D114" s="4"/>
      <c r="E114" s="4"/>
      <c r="F114" s="4"/>
      <c r="G114" s="5"/>
      <c r="H114" s="4"/>
      <c r="I114" s="5"/>
      <c r="J114" s="4"/>
      <c r="K114" s="4"/>
      <c r="L114" s="4"/>
    </row>
    <row r="115" spans="1:33" s="3" customFormat="1" x14ac:dyDescent="0.35">
      <c r="A115" s="12">
        <v>7</v>
      </c>
      <c r="B115" s="2" t="s">
        <v>123</v>
      </c>
      <c r="C115" s="4"/>
      <c r="D115" s="28"/>
      <c r="E115" s="4"/>
      <c r="F115" s="4"/>
      <c r="G115" s="5"/>
      <c r="H115" s="4"/>
      <c r="I115" s="5"/>
      <c r="J115" s="4"/>
      <c r="K115" s="4"/>
      <c r="L115" s="4"/>
    </row>
    <row r="116" spans="1:33" s="3" customFormat="1" ht="19" x14ac:dyDescent="0.35">
      <c r="A116" s="13"/>
      <c r="B116" s="29" t="s">
        <v>49</v>
      </c>
      <c r="C116" s="29" t="s">
        <v>50</v>
      </c>
      <c r="D116" s="242" t="s">
        <v>164</v>
      </c>
      <c r="E116" s="243"/>
      <c r="F116" s="243"/>
      <c r="G116" s="243"/>
      <c r="H116" s="30" t="s">
        <v>53</v>
      </c>
      <c r="I116" s="30" t="s">
        <v>205</v>
      </c>
      <c r="J116" s="29" t="s">
        <v>54</v>
      </c>
      <c r="K116" s="29" t="s">
        <v>55</v>
      </c>
      <c r="L116" s="29" t="s">
        <v>56</v>
      </c>
      <c r="M116" s="29" t="s">
        <v>57</v>
      </c>
    </row>
    <row r="117" spans="1:33" s="3" customFormat="1" x14ac:dyDescent="0.35">
      <c r="A117" s="13"/>
      <c r="B117" s="31">
        <f>SUM(D45,D51,D57,D63)</f>
        <v>0</v>
      </c>
      <c r="C117" s="31">
        <f>SUM(E83:E85)</f>
        <v>0</v>
      </c>
      <c r="D117" s="244">
        <f>C112</f>
        <v>0</v>
      </c>
      <c r="E117" s="245"/>
      <c r="F117" s="245"/>
      <c r="G117" s="246"/>
      <c r="H117" s="31">
        <f>C95</f>
        <v>0</v>
      </c>
      <c r="I117" s="31">
        <f>C100</f>
        <v>520.5</v>
      </c>
      <c r="J117" s="32">
        <f>SUM(B117:I117)</f>
        <v>520.5</v>
      </c>
      <c r="K117" s="33">
        <f>SUM(D33:D36)</f>
        <v>487.5</v>
      </c>
      <c r="L117" s="32">
        <f>K117-J117</f>
        <v>-33</v>
      </c>
      <c r="M117" s="34">
        <f>L117/K117</f>
        <v>-6.7692307692307691E-2</v>
      </c>
      <c r="N117" s="85" t="s">
        <v>66</v>
      </c>
    </row>
    <row r="118" spans="1:33" s="3" customFormat="1" x14ac:dyDescent="0.35">
      <c r="A118" s="13"/>
      <c r="B118" s="4"/>
      <c r="C118" s="4"/>
      <c r="D118" s="4"/>
      <c r="E118" s="4"/>
      <c r="F118" s="4"/>
      <c r="G118" s="5"/>
      <c r="H118" s="5"/>
      <c r="J118" s="4"/>
      <c r="K118" s="4"/>
      <c r="L118" s="4"/>
      <c r="N118" s="86" t="s">
        <v>67</v>
      </c>
    </row>
    <row r="119" spans="1:33" s="3" customFormat="1" x14ac:dyDescent="0.35">
      <c r="A119" s="13"/>
      <c r="B119" s="4"/>
      <c r="C119" s="4"/>
      <c r="D119" s="4"/>
      <c r="E119" s="4"/>
      <c r="F119" s="4"/>
      <c r="G119" s="5"/>
      <c r="H119" s="5"/>
      <c r="I119" s="4"/>
      <c r="J119" s="4"/>
      <c r="K119" s="4"/>
      <c r="M119" s="86"/>
    </row>
    <row r="120" spans="1:33" s="3" customFormat="1" x14ac:dyDescent="0.35">
      <c r="A120" s="12">
        <v>8</v>
      </c>
      <c r="B120" s="65" t="s">
        <v>124</v>
      </c>
      <c r="D120" s="92"/>
      <c r="E120" s="92"/>
      <c r="F120" s="92"/>
      <c r="G120" s="300" t="s">
        <v>151</v>
      </c>
      <c r="H120" s="301"/>
      <c r="I120" s="301"/>
      <c r="J120" s="92"/>
      <c r="K120" s="92"/>
      <c r="L120" s="92"/>
    </row>
    <row r="121" spans="1:33" s="3" customFormat="1" ht="39" x14ac:dyDescent="0.35">
      <c r="A121" s="8" t="s">
        <v>125</v>
      </c>
      <c r="B121" s="8" t="s">
        <v>153</v>
      </c>
      <c r="C121" s="10" t="s">
        <v>65</v>
      </c>
      <c r="D121" s="10" t="s">
        <v>117</v>
      </c>
      <c r="E121" s="10" t="s">
        <v>249</v>
      </c>
      <c r="F121" s="8" t="s">
        <v>250</v>
      </c>
      <c r="G121" s="8" t="s">
        <v>126</v>
      </c>
      <c r="H121" s="8" t="s">
        <v>127</v>
      </c>
      <c r="I121" s="8" t="s">
        <v>168</v>
      </c>
      <c r="J121" s="10" t="s">
        <v>41</v>
      </c>
      <c r="K121" s="10" t="s">
        <v>205</v>
      </c>
      <c r="L121" s="10" t="s">
        <v>167</v>
      </c>
      <c r="M121" s="10" t="s">
        <v>169</v>
      </c>
      <c r="N121" s="10" t="s">
        <v>128</v>
      </c>
    </row>
    <row r="122" spans="1:33" s="3" customFormat="1" x14ac:dyDescent="0.35">
      <c r="A122" s="93">
        <f>$B$27</f>
        <v>46233</v>
      </c>
      <c r="B122" s="93" t="str">
        <f>$C$24</f>
        <v>146/VII</v>
      </c>
      <c r="C122" s="75">
        <v>1</v>
      </c>
      <c r="D122" s="75">
        <f>B33</f>
        <v>0</v>
      </c>
      <c r="E122" s="107">
        <f>D33</f>
        <v>0</v>
      </c>
      <c r="F122" s="43">
        <f>D45</f>
        <v>0</v>
      </c>
      <c r="G122" s="303">
        <f>SUM(E90:E91)</f>
        <v>0</v>
      </c>
      <c r="H122" s="303">
        <f>SUM(E83:E85)</f>
        <v>0</v>
      </c>
      <c r="I122" s="303">
        <f>C112</f>
        <v>0</v>
      </c>
      <c r="J122" s="42">
        <v>0</v>
      </c>
      <c r="K122" s="42"/>
      <c r="L122" s="42">
        <f>F122+G122+H122+I122+J122</f>
        <v>0</v>
      </c>
      <c r="M122" s="42">
        <f>L122-E122</f>
        <v>0</v>
      </c>
      <c r="N122" s="34" t="e">
        <f>M122/E122</f>
        <v>#DIV/0!</v>
      </c>
    </row>
    <row r="123" spans="1:33" s="38" customFormat="1" x14ac:dyDescent="0.3">
      <c r="A123" s="93">
        <f t="shared" ref="A123:A125" si="0">$B$27</f>
        <v>46233</v>
      </c>
      <c r="B123" s="93" t="str">
        <f t="shared" ref="B123:B125" si="1">$C$24</f>
        <v>146/VII</v>
      </c>
      <c r="C123" s="75">
        <v>1</v>
      </c>
      <c r="D123" s="75" t="str">
        <f t="shared" ref="D123:D125" si="2">B34</f>
        <v>DEBDA0319-T1-BC.8</v>
      </c>
      <c r="E123" s="107">
        <f t="shared" ref="E123:E125" si="3">D34</f>
        <v>487.5</v>
      </c>
      <c r="F123" s="43">
        <f>D51</f>
        <v>0</v>
      </c>
      <c r="G123" s="304"/>
      <c r="H123" s="304"/>
      <c r="I123" s="304"/>
      <c r="J123" s="42">
        <v>0</v>
      </c>
      <c r="K123" s="42">
        <f>C100</f>
        <v>520.5</v>
      </c>
      <c r="L123" s="42">
        <f>F123+G123+H123+I123+J123+K123</f>
        <v>520.5</v>
      </c>
      <c r="M123" s="42">
        <f>L123-E123</f>
        <v>33</v>
      </c>
      <c r="N123" s="34">
        <f>M123/E123</f>
        <v>6.7692307692307691E-2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s="38" customFormat="1" x14ac:dyDescent="0.3">
      <c r="A124" s="93">
        <f t="shared" si="0"/>
        <v>46233</v>
      </c>
      <c r="B124" s="93" t="str">
        <f t="shared" si="1"/>
        <v>146/VII</v>
      </c>
      <c r="C124" s="75">
        <v>1</v>
      </c>
      <c r="D124" s="75">
        <f t="shared" si="2"/>
        <v>0</v>
      </c>
      <c r="E124" s="107">
        <f t="shared" si="3"/>
        <v>0</v>
      </c>
      <c r="F124" s="43">
        <f>D57</f>
        <v>0</v>
      </c>
      <c r="G124" s="304"/>
      <c r="H124" s="304"/>
      <c r="I124" s="304"/>
      <c r="J124" s="42">
        <v>0</v>
      </c>
      <c r="K124" s="42"/>
      <c r="L124" s="42">
        <f>F124+G124+H124+I124+J124</f>
        <v>0</v>
      </c>
      <c r="M124" s="42">
        <f>L124-E124</f>
        <v>0</v>
      </c>
      <c r="N124" s="34" t="e">
        <f>M124/E124</f>
        <v>#DIV/0!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s="38" customFormat="1" x14ac:dyDescent="0.3">
      <c r="A125" s="93">
        <f t="shared" si="0"/>
        <v>46233</v>
      </c>
      <c r="B125" s="93" t="str">
        <f t="shared" si="1"/>
        <v>146/VII</v>
      </c>
      <c r="C125" s="75">
        <v>1</v>
      </c>
      <c r="D125" s="75">
        <f t="shared" si="2"/>
        <v>0</v>
      </c>
      <c r="E125" s="107">
        <f t="shared" si="3"/>
        <v>0</v>
      </c>
      <c r="F125" s="42">
        <f>D63</f>
        <v>0</v>
      </c>
      <c r="G125" s="305"/>
      <c r="H125" s="305"/>
      <c r="I125" s="305"/>
      <c r="J125" s="42">
        <f>C95</f>
        <v>0</v>
      </c>
      <c r="K125" s="42"/>
      <c r="L125" s="42">
        <f>F125+G122+H122+I122+J125</f>
        <v>0</v>
      </c>
      <c r="M125" s="42">
        <f>L125-E125</f>
        <v>0</v>
      </c>
      <c r="N125" s="34" t="e">
        <f>M125/E125</f>
        <v>#DIV/0!</v>
      </c>
      <c r="O125" s="108" t="s">
        <v>152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s="3" customFormat="1" x14ac:dyDescent="0.35">
      <c r="G126" s="6"/>
      <c r="I126" s="6"/>
      <c r="K126" s="54"/>
    </row>
    <row r="127" spans="1:33" s="3" customFormat="1" x14ac:dyDescent="0.35">
      <c r="G127" s="35" t="s">
        <v>58</v>
      </c>
      <c r="H127" s="36" t="s">
        <v>59</v>
      </c>
      <c r="I127" s="6"/>
    </row>
    <row r="128" spans="1:33" s="3" customFormat="1" x14ac:dyDescent="0.35">
      <c r="G128" s="37" t="s">
        <v>60</v>
      </c>
      <c r="I128" s="6"/>
    </row>
    <row r="129" spans="1:25" s="3" customFormat="1" x14ac:dyDescent="0.35">
      <c r="G129" s="3" t="s">
        <v>61</v>
      </c>
      <c r="I129" s="6"/>
    </row>
    <row r="130" spans="1:25" s="3" customFormat="1" x14ac:dyDescent="0.35">
      <c r="G130" s="3" t="s">
        <v>62</v>
      </c>
      <c r="H130" s="4"/>
      <c r="I130" s="6"/>
    </row>
    <row r="132" spans="1:25" x14ac:dyDescent="0.35">
      <c r="A132" s="296" t="s">
        <v>154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</row>
    <row r="134" spans="1:25" s="3" customFormat="1" x14ac:dyDescent="0.35">
      <c r="B134" s="4"/>
      <c r="C134" s="4"/>
      <c r="D134" s="4"/>
      <c r="E134" s="4"/>
      <c r="G134" s="257" t="s">
        <v>68</v>
      </c>
      <c r="H134" s="257"/>
      <c r="I134" s="257"/>
      <c r="J134" s="257"/>
      <c r="K134" s="257"/>
      <c r="L134" s="257"/>
      <c r="M134" s="257"/>
      <c r="N134" s="257"/>
      <c r="P134" s="247" t="s">
        <v>69</v>
      </c>
      <c r="Q134" s="247"/>
      <c r="R134" s="247"/>
      <c r="S134" s="247"/>
      <c r="T134" s="247"/>
      <c r="U134" s="247"/>
      <c r="V134" s="247"/>
      <c r="W134" s="247"/>
    </row>
    <row r="135" spans="1:25" s="3" customFormat="1" ht="65" x14ac:dyDescent="0.35">
      <c r="A135" s="8" t="s">
        <v>33</v>
      </c>
      <c r="B135" s="8" t="s">
        <v>70</v>
      </c>
      <c r="C135" s="8" t="s">
        <v>71</v>
      </c>
      <c r="D135" s="8" t="s">
        <v>72</v>
      </c>
      <c r="E135" s="8" t="s">
        <v>34</v>
      </c>
      <c r="F135" s="47" t="s">
        <v>73</v>
      </c>
      <c r="G135" s="8" t="s">
        <v>74</v>
      </c>
      <c r="H135" s="10" t="s">
        <v>156</v>
      </c>
      <c r="I135" s="10" t="s">
        <v>75</v>
      </c>
      <c r="J135" s="10" t="s">
        <v>76</v>
      </c>
      <c r="K135" s="10" t="s">
        <v>158</v>
      </c>
      <c r="L135" s="48" t="s">
        <v>78</v>
      </c>
      <c r="M135" s="48" t="s">
        <v>79</v>
      </c>
      <c r="N135" s="48" t="s">
        <v>80</v>
      </c>
      <c r="O135" s="48" t="s">
        <v>81</v>
      </c>
      <c r="P135" s="48" t="s">
        <v>82</v>
      </c>
      <c r="Q135" s="10" t="s">
        <v>157</v>
      </c>
      <c r="R135" s="10" t="s">
        <v>83</v>
      </c>
      <c r="S135" s="10" t="s">
        <v>84</v>
      </c>
      <c r="T135" s="10" t="s">
        <v>85</v>
      </c>
      <c r="U135" s="48" t="s">
        <v>86</v>
      </c>
      <c r="V135" s="48" t="s">
        <v>87</v>
      </c>
      <c r="W135" s="48" t="s">
        <v>88</v>
      </c>
    </row>
    <row r="136" spans="1:25" s="3" customFormat="1" x14ac:dyDescent="0.35">
      <c r="A136" s="43">
        <v>1</v>
      </c>
      <c r="B136" s="109">
        <f>C40</f>
        <v>0</v>
      </c>
      <c r="C136" s="44">
        <f>B117</f>
        <v>0</v>
      </c>
      <c r="D136" s="49">
        <f>E45</f>
        <v>0</v>
      </c>
      <c r="E136" s="43">
        <v>6</v>
      </c>
      <c r="F136" s="50">
        <v>11805</v>
      </c>
      <c r="G136" s="50">
        <f>F136*D136</f>
        <v>0</v>
      </c>
      <c r="H136" s="49">
        <f>400*D136</f>
        <v>0</v>
      </c>
      <c r="I136" s="50">
        <f>300*D136</f>
        <v>0</v>
      </c>
      <c r="J136" s="49">
        <f>500*D136</f>
        <v>0</v>
      </c>
      <c r="K136" s="49">
        <f>150*D136</f>
        <v>0</v>
      </c>
      <c r="L136" s="50">
        <f>200*D136</f>
        <v>0</v>
      </c>
      <c r="M136" s="49">
        <f>2%*G136</f>
        <v>0</v>
      </c>
      <c r="N136" s="51">
        <f>SUM(G136:M136)</f>
        <v>0</v>
      </c>
      <c r="O136" s="110">
        <f>SUM(C45,C51,C57,C63)</f>
        <v>0</v>
      </c>
      <c r="P136" s="49">
        <f>$O136*G136</f>
        <v>0</v>
      </c>
      <c r="Q136" s="49">
        <f t="shared" ref="Q136:V136" si="4">$O136*H136</f>
        <v>0</v>
      </c>
      <c r="R136" s="49">
        <f t="shared" si="4"/>
        <v>0</v>
      </c>
      <c r="S136" s="49">
        <f t="shared" si="4"/>
        <v>0</v>
      </c>
      <c r="T136" s="49">
        <f t="shared" si="4"/>
        <v>0</v>
      </c>
      <c r="U136" s="49">
        <f t="shared" si="4"/>
        <v>0</v>
      </c>
      <c r="V136" s="49">
        <f t="shared" si="4"/>
        <v>0</v>
      </c>
      <c r="W136" s="51">
        <f>O136*N136</f>
        <v>0</v>
      </c>
      <c r="X136" s="54"/>
    </row>
    <row r="137" spans="1:25" s="3" customFormat="1" x14ac:dyDescent="0.35">
      <c r="A137" s="43"/>
      <c r="B137" s="109"/>
      <c r="C137" s="43"/>
      <c r="D137" s="49"/>
      <c r="E137" s="43"/>
      <c r="F137" s="52"/>
      <c r="G137" s="50">
        <f t="shared" ref="G137" si="5">F137*D137</f>
        <v>0</v>
      </c>
      <c r="H137" s="49">
        <f t="shared" ref="H137" si="6">400*D137</f>
        <v>0</v>
      </c>
      <c r="I137" s="50">
        <f t="shared" ref="I137" si="7">300*D137</f>
        <v>0</v>
      </c>
      <c r="J137" s="49">
        <f>500*D137</f>
        <v>0</v>
      </c>
      <c r="K137" s="49">
        <f t="shared" ref="K137" si="8">200*D137</f>
        <v>0</v>
      </c>
      <c r="L137" s="50">
        <f>200*D137</f>
        <v>0</v>
      </c>
      <c r="M137" s="49">
        <f>2%*G137</f>
        <v>0</v>
      </c>
      <c r="N137" s="51">
        <f>SUM(G137:M137)</f>
        <v>0</v>
      </c>
      <c r="O137" s="43"/>
      <c r="P137" s="49"/>
      <c r="Q137" s="49"/>
      <c r="R137" s="49"/>
      <c r="S137" s="49"/>
      <c r="T137" s="49"/>
      <c r="U137" s="49"/>
      <c r="V137" s="49"/>
      <c r="W137" s="51"/>
    </row>
    <row r="138" spans="1:25" s="3" customFormat="1" x14ac:dyDescent="0.35">
      <c r="A138" s="13"/>
      <c r="B138" s="53"/>
      <c r="C138" s="12">
        <f>SUM(C136:C137)</f>
        <v>0</v>
      </c>
      <c r="D138" s="54"/>
      <c r="E138" s="13"/>
      <c r="F138" s="6"/>
      <c r="G138" s="6"/>
      <c r="H138" s="54"/>
      <c r="I138" s="6"/>
      <c r="L138" s="6"/>
      <c r="M138" s="54"/>
      <c r="N138" s="54"/>
      <c r="P138" s="55">
        <f t="shared" ref="P138:V138" si="9">SUM(P136:P137)</f>
        <v>0</v>
      </c>
      <c r="Q138" s="55">
        <f t="shared" si="9"/>
        <v>0</v>
      </c>
      <c r="R138" s="55">
        <f t="shared" si="9"/>
        <v>0</v>
      </c>
      <c r="S138" s="55">
        <f t="shared" si="9"/>
        <v>0</v>
      </c>
      <c r="T138" s="55">
        <f t="shared" si="9"/>
        <v>0</v>
      </c>
      <c r="U138" s="55">
        <f t="shared" si="9"/>
        <v>0</v>
      </c>
      <c r="V138" s="55">
        <f t="shared" si="9"/>
        <v>0</v>
      </c>
    </row>
    <row r="139" spans="1:25" s="3" customFormat="1" x14ac:dyDescent="0.35">
      <c r="A139" s="13"/>
      <c r="B139" s="53"/>
      <c r="C139" s="12"/>
      <c r="D139" s="54"/>
      <c r="E139" s="13"/>
      <c r="F139" s="6"/>
      <c r="G139" s="6"/>
      <c r="H139" s="54"/>
      <c r="I139" s="6"/>
      <c r="J139" s="54"/>
      <c r="K139" s="54"/>
      <c r="N139" s="55"/>
      <c r="O139" s="55"/>
      <c r="P139" s="55"/>
    </row>
    <row r="140" spans="1:25" s="3" customFormat="1" x14ac:dyDescent="0.35">
      <c r="A140" s="45" t="s">
        <v>89</v>
      </c>
      <c r="B140" s="53"/>
      <c r="C140" s="13"/>
      <c r="D140" s="54"/>
      <c r="E140" s="13"/>
      <c r="F140" s="56"/>
      <c r="G140" s="6"/>
      <c r="I140" s="6"/>
      <c r="K140" s="6"/>
    </row>
    <row r="141" spans="1:25" s="3" customFormat="1" x14ac:dyDescent="0.35">
      <c r="A141" s="45" t="s">
        <v>90</v>
      </c>
      <c r="B141" s="53"/>
      <c r="C141" s="13"/>
      <c r="D141" s="54"/>
      <c r="E141" s="13"/>
      <c r="F141" s="6"/>
      <c r="G141" s="297" t="s">
        <v>68</v>
      </c>
      <c r="H141" s="298"/>
      <c r="I141" s="298"/>
      <c r="J141" s="298"/>
      <c r="K141" s="298"/>
      <c r="L141" s="298"/>
      <c r="M141" s="298"/>
      <c r="N141" s="299"/>
      <c r="P141" s="300" t="s">
        <v>170</v>
      </c>
      <c r="Q141" s="301"/>
      <c r="R141" s="301"/>
      <c r="S141" s="301"/>
      <c r="T141" s="301"/>
      <c r="U141" s="301"/>
      <c r="V141" s="301"/>
      <c r="W141" s="302"/>
    </row>
    <row r="142" spans="1:25" s="3" customFormat="1" ht="65" x14ac:dyDescent="0.35">
      <c r="A142" s="8" t="s">
        <v>33</v>
      </c>
      <c r="B142" s="8" t="s">
        <v>70</v>
      </c>
      <c r="C142" s="8" t="s">
        <v>71</v>
      </c>
      <c r="D142" s="8" t="s">
        <v>72</v>
      </c>
      <c r="E142" s="8" t="s">
        <v>34</v>
      </c>
      <c r="F142" s="47" t="s">
        <v>73</v>
      </c>
      <c r="G142" s="8" t="s">
        <v>74</v>
      </c>
      <c r="H142" s="10" t="s">
        <v>159</v>
      </c>
      <c r="I142" s="10" t="s">
        <v>75</v>
      </c>
      <c r="J142" s="10" t="s">
        <v>76</v>
      </c>
      <c r="K142" s="10" t="s">
        <v>77</v>
      </c>
      <c r="L142" s="48" t="s">
        <v>78</v>
      </c>
      <c r="M142" s="48" t="s">
        <v>79</v>
      </c>
      <c r="N142" s="48" t="s">
        <v>80</v>
      </c>
      <c r="O142" s="57" t="s">
        <v>91</v>
      </c>
      <c r="P142" s="48" t="s">
        <v>82</v>
      </c>
      <c r="Q142" s="10" t="s">
        <v>157</v>
      </c>
      <c r="R142" s="10" t="s">
        <v>83</v>
      </c>
      <c r="S142" s="10" t="s">
        <v>92</v>
      </c>
      <c r="T142" s="10" t="s">
        <v>85</v>
      </c>
      <c r="U142" s="48" t="s">
        <v>86</v>
      </c>
      <c r="V142" s="48" t="s">
        <v>87</v>
      </c>
      <c r="W142" s="48" t="s">
        <v>88</v>
      </c>
      <c r="X142" s="48" t="s">
        <v>171</v>
      </c>
      <c r="Y142" s="48" t="s">
        <v>240</v>
      </c>
    </row>
    <row r="143" spans="1:25" s="3" customFormat="1" x14ac:dyDescent="0.35">
      <c r="A143" s="43">
        <v>1</v>
      </c>
      <c r="B143" s="58" t="str">
        <f>G83</f>
        <v>0-KW 2- 01</v>
      </c>
      <c r="C143" s="130">
        <f>E83</f>
        <v>0</v>
      </c>
      <c r="D143" s="49">
        <f>F83</f>
        <v>0</v>
      </c>
      <c r="E143" s="43">
        <f>C83</f>
        <v>0</v>
      </c>
      <c r="F143" s="50">
        <v>11805</v>
      </c>
      <c r="G143" s="50">
        <f>F143*D143</f>
        <v>0</v>
      </c>
      <c r="H143" s="49">
        <f>400*D143</f>
        <v>0</v>
      </c>
      <c r="I143" s="50">
        <f>300*D143</f>
        <v>0</v>
      </c>
      <c r="J143" s="49">
        <f>500*D143</f>
        <v>0</v>
      </c>
      <c r="K143" s="49">
        <f>200*D143</f>
        <v>0</v>
      </c>
      <c r="L143" s="50">
        <f>200*D143</f>
        <v>0</v>
      </c>
      <c r="M143" s="49">
        <f>2%*G143</f>
        <v>0</v>
      </c>
      <c r="N143" s="51">
        <f>SUM(G143:M143)</f>
        <v>0</v>
      </c>
      <c r="O143" s="131">
        <f>D83</f>
        <v>0</v>
      </c>
      <c r="P143" s="49">
        <f>G143*$O143</f>
        <v>0</v>
      </c>
      <c r="Q143" s="49">
        <f t="shared" ref="Q143:V145" si="10">H143*$O143</f>
        <v>0</v>
      </c>
      <c r="R143" s="49">
        <f t="shared" si="10"/>
        <v>0</v>
      </c>
      <c r="S143" s="49">
        <f t="shared" si="10"/>
        <v>0</v>
      </c>
      <c r="T143" s="49">
        <f t="shared" si="10"/>
        <v>0</v>
      </c>
      <c r="U143" s="49">
        <f t="shared" si="10"/>
        <v>0</v>
      </c>
      <c r="V143" s="49">
        <f t="shared" si="10"/>
        <v>0</v>
      </c>
      <c r="W143" s="51">
        <f>SUM(P143:V143)</f>
        <v>0</v>
      </c>
      <c r="X143" s="51">
        <f>W143*80%</f>
        <v>0</v>
      </c>
      <c r="Y143" s="51">
        <f>W143*20%</f>
        <v>0</v>
      </c>
    </row>
    <row r="144" spans="1:25" s="3" customFormat="1" x14ac:dyDescent="0.35">
      <c r="A144" s="43">
        <v>2</v>
      </c>
      <c r="B144" s="58" t="str">
        <f t="shared" ref="B144:B145" si="11">G84</f>
        <v>0-KW 2- 02</v>
      </c>
      <c r="C144" s="130">
        <f t="shared" ref="C144:D145" si="12">E84</f>
        <v>0</v>
      </c>
      <c r="D144" s="49">
        <f t="shared" si="12"/>
        <v>0</v>
      </c>
      <c r="E144" s="43">
        <f t="shared" ref="E144:E145" si="13">C84</f>
        <v>0</v>
      </c>
      <c r="F144" s="50">
        <v>11805</v>
      </c>
      <c r="G144" s="50">
        <f t="shared" ref="G144:G145" si="14">F144*D144</f>
        <v>0</v>
      </c>
      <c r="H144" s="49">
        <f t="shared" ref="H144:H145" si="15">400*D144</f>
        <v>0</v>
      </c>
      <c r="I144" s="50">
        <f t="shared" ref="I144:I145" si="16">300*D144</f>
        <v>0</v>
      </c>
      <c r="J144" s="49">
        <f t="shared" ref="J144:J145" si="17">500*D144</f>
        <v>0</v>
      </c>
      <c r="K144" s="49">
        <f t="shared" ref="K144:K145" si="18">200*D144</f>
        <v>0</v>
      </c>
      <c r="L144" s="50">
        <f t="shared" ref="L144:L145" si="19">200*D144</f>
        <v>0</v>
      </c>
      <c r="M144" s="49">
        <f t="shared" ref="M144:M145" si="20">2%*G144</f>
        <v>0</v>
      </c>
      <c r="N144" s="51">
        <f t="shared" ref="N144:N145" si="21">SUM(G144:M144)</f>
        <v>0</v>
      </c>
      <c r="O144" s="131">
        <f t="shared" ref="O144:O145" si="22">D84</f>
        <v>0</v>
      </c>
      <c r="P144" s="49">
        <f t="shared" ref="P144:P145" si="23">G144*$O144</f>
        <v>0</v>
      </c>
      <c r="Q144" s="49">
        <f t="shared" si="10"/>
        <v>0</v>
      </c>
      <c r="R144" s="49">
        <f t="shared" si="10"/>
        <v>0</v>
      </c>
      <c r="S144" s="49">
        <f t="shared" si="10"/>
        <v>0</v>
      </c>
      <c r="T144" s="49">
        <f t="shared" si="10"/>
        <v>0</v>
      </c>
      <c r="U144" s="49">
        <f t="shared" si="10"/>
        <v>0</v>
      </c>
      <c r="V144" s="49">
        <f t="shared" si="10"/>
        <v>0</v>
      </c>
      <c r="W144" s="51">
        <f t="shared" ref="W144:W145" si="24">SUM(P144:V144)</f>
        <v>0</v>
      </c>
      <c r="X144" s="51">
        <f t="shared" ref="X144:X145" si="25">W144*80%</f>
        <v>0</v>
      </c>
      <c r="Y144" s="51">
        <f t="shared" ref="Y144:Y145" si="26">W144*20%</f>
        <v>0</v>
      </c>
    </row>
    <row r="145" spans="1:25" s="3" customFormat="1" x14ac:dyDescent="0.35">
      <c r="A145" s="43">
        <v>3</v>
      </c>
      <c r="B145" s="58" t="str">
        <f t="shared" si="11"/>
        <v>0-KW 2- 03</v>
      </c>
      <c r="C145" s="130">
        <f t="shared" si="12"/>
        <v>0</v>
      </c>
      <c r="D145" s="49">
        <f t="shared" si="12"/>
        <v>0</v>
      </c>
      <c r="E145" s="43">
        <f t="shared" si="13"/>
        <v>0</v>
      </c>
      <c r="F145" s="50">
        <v>11805</v>
      </c>
      <c r="G145" s="50">
        <f t="shared" si="14"/>
        <v>0</v>
      </c>
      <c r="H145" s="49">
        <f t="shared" si="15"/>
        <v>0</v>
      </c>
      <c r="I145" s="50">
        <f t="shared" si="16"/>
        <v>0</v>
      </c>
      <c r="J145" s="49">
        <f t="shared" si="17"/>
        <v>0</v>
      </c>
      <c r="K145" s="49">
        <f t="shared" si="18"/>
        <v>0</v>
      </c>
      <c r="L145" s="50">
        <f t="shared" si="19"/>
        <v>0</v>
      </c>
      <c r="M145" s="49">
        <f t="shared" si="20"/>
        <v>0</v>
      </c>
      <c r="N145" s="51">
        <f t="shared" si="21"/>
        <v>0</v>
      </c>
      <c r="O145" s="131">
        <f t="shared" si="22"/>
        <v>0</v>
      </c>
      <c r="P145" s="49">
        <f t="shared" si="23"/>
        <v>0</v>
      </c>
      <c r="Q145" s="49">
        <f t="shared" si="10"/>
        <v>0</v>
      </c>
      <c r="R145" s="49">
        <f t="shared" si="10"/>
        <v>0</v>
      </c>
      <c r="S145" s="49">
        <f t="shared" si="10"/>
        <v>0</v>
      </c>
      <c r="T145" s="49">
        <f t="shared" si="10"/>
        <v>0</v>
      </c>
      <c r="U145" s="49">
        <f t="shared" si="10"/>
        <v>0</v>
      </c>
      <c r="V145" s="49">
        <f t="shared" si="10"/>
        <v>0</v>
      </c>
      <c r="W145" s="51">
        <f t="shared" si="24"/>
        <v>0</v>
      </c>
      <c r="X145" s="51">
        <f t="shared" si="25"/>
        <v>0</v>
      </c>
      <c r="Y145" s="51">
        <f t="shared" si="26"/>
        <v>0</v>
      </c>
    </row>
    <row r="146" spans="1:25" s="3" customFormat="1" x14ac:dyDescent="0.35">
      <c r="A146" s="13"/>
      <c r="B146" s="59"/>
      <c r="C146" s="12">
        <f>SUM(C143)</f>
        <v>0</v>
      </c>
      <c r="D146" s="54"/>
      <c r="E146" s="13"/>
      <c r="F146" s="60"/>
      <c r="G146" s="60"/>
      <c r="H146" s="55"/>
      <c r="I146" s="60"/>
      <c r="J146" s="54"/>
      <c r="K146" s="54"/>
      <c r="P146" s="55">
        <f>SUM(P143:P145)</f>
        <v>0</v>
      </c>
      <c r="Q146" s="55">
        <f t="shared" ref="Q146:Y146" si="27">SUM(Q143:Q145)</f>
        <v>0</v>
      </c>
      <c r="R146" s="55">
        <f t="shared" si="27"/>
        <v>0</v>
      </c>
      <c r="S146" s="55">
        <f t="shared" si="27"/>
        <v>0</v>
      </c>
      <c r="T146" s="55">
        <f t="shared" si="27"/>
        <v>0</v>
      </c>
      <c r="U146" s="55">
        <f t="shared" si="27"/>
        <v>0</v>
      </c>
      <c r="V146" s="55">
        <f t="shared" si="27"/>
        <v>0</v>
      </c>
      <c r="W146" s="55">
        <f t="shared" si="27"/>
        <v>0</v>
      </c>
      <c r="X146" s="55">
        <f t="shared" si="27"/>
        <v>0</v>
      </c>
      <c r="Y146" s="55">
        <f t="shared" si="27"/>
        <v>0</v>
      </c>
    </row>
    <row r="147" spans="1:25" s="3" customFormat="1" x14ac:dyDescent="0.35">
      <c r="A147" s="13"/>
      <c r="B147" s="59"/>
      <c r="C147" s="12"/>
      <c r="D147" s="54"/>
      <c r="E147" s="13"/>
      <c r="F147" s="60"/>
      <c r="G147" s="60"/>
      <c r="H147" s="55"/>
      <c r="I147" s="60"/>
      <c r="J147" s="54"/>
      <c r="K147" s="54"/>
    </row>
    <row r="148" spans="1:25" s="3" customFormat="1" x14ac:dyDescent="0.35">
      <c r="A148" s="13"/>
      <c r="B148" s="53"/>
      <c r="D148" s="54"/>
      <c r="E148" s="13"/>
      <c r="F148" s="6"/>
      <c r="G148" s="6"/>
      <c r="H148" s="54"/>
      <c r="I148" s="6"/>
      <c r="J148" s="54"/>
      <c r="K148" s="54"/>
    </row>
    <row r="149" spans="1:25" s="3" customFormat="1" x14ac:dyDescent="0.35">
      <c r="A149" s="45" t="s">
        <v>93</v>
      </c>
      <c r="B149" s="53"/>
      <c r="C149" s="13"/>
      <c r="D149" s="54"/>
      <c r="E149" s="13"/>
      <c r="F149" s="6"/>
      <c r="G149" s="297" t="s">
        <v>68</v>
      </c>
      <c r="H149" s="298"/>
      <c r="I149" s="298"/>
      <c r="J149" s="298"/>
      <c r="K149" s="298"/>
      <c r="L149" s="298"/>
      <c r="M149" s="298"/>
      <c r="N149" s="299"/>
      <c r="P149" s="300" t="s">
        <v>170</v>
      </c>
      <c r="Q149" s="301"/>
      <c r="R149" s="301"/>
      <c r="S149" s="301"/>
      <c r="T149" s="301"/>
      <c r="U149" s="301"/>
      <c r="V149" s="301"/>
      <c r="W149" s="302"/>
    </row>
    <row r="150" spans="1:25" s="3" customFormat="1" ht="65" x14ac:dyDescent="0.35">
      <c r="A150" s="8" t="s">
        <v>33</v>
      </c>
      <c r="B150" s="8" t="s">
        <v>70</v>
      </c>
      <c r="C150" s="8" t="s">
        <v>71</v>
      </c>
      <c r="D150" s="8" t="s">
        <v>72</v>
      </c>
      <c r="E150" s="8" t="s">
        <v>34</v>
      </c>
      <c r="F150" s="47" t="s">
        <v>73</v>
      </c>
      <c r="G150" s="8" t="s">
        <v>74</v>
      </c>
      <c r="H150" s="10" t="s">
        <v>159</v>
      </c>
      <c r="I150" s="10" t="s">
        <v>75</v>
      </c>
      <c r="J150" s="10" t="s">
        <v>76</v>
      </c>
      <c r="K150" s="10" t="s">
        <v>77</v>
      </c>
      <c r="L150" s="48" t="s">
        <v>78</v>
      </c>
      <c r="M150" s="48" t="s">
        <v>79</v>
      </c>
      <c r="N150" s="48" t="s">
        <v>80</v>
      </c>
      <c r="O150" s="57" t="s">
        <v>91</v>
      </c>
      <c r="P150" s="48" t="s">
        <v>82</v>
      </c>
      <c r="Q150" s="10" t="s">
        <v>157</v>
      </c>
      <c r="R150" s="10" t="s">
        <v>83</v>
      </c>
      <c r="S150" s="10" t="s">
        <v>92</v>
      </c>
      <c r="T150" s="10" t="s">
        <v>85</v>
      </c>
      <c r="U150" s="48" t="s">
        <v>86</v>
      </c>
      <c r="V150" s="48" t="s">
        <v>87</v>
      </c>
      <c r="W150" s="48" t="s">
        <v>88</v>
      </c>
      <c r="X150" s="48" t="s">
        <v>171</v>
      </c>
      <c r="Y150" s="48" t="s">
        <v>240</v>
      </c>
    </row>
    <row r="151" spans="1:25" s="3" customFormat="1" x14ac:dyDescent="0.35">
      <c r="A151" s="43">
        <v>1</v>
      </c>
      <c r="B151" s="58">
        <f>G90</f>
        <v>0</v>
      </c>
      <c r="C151" s="130">
        <f>E90</f>
        <v>0</v>
      </c>
      <c r="D151" s="49">
        <f>F90</f>
        <v>0</v>
      </c>
      <c r="E151" s="43">
        <f>C90</f>
        <v>0</v>
      </c>
      <c r="F151" s="50">
        <v>11805</v>
      </c>
      <c r="G151" s="50">
        <f>F151*D151</f>
        <v>0</v>
      </c>
      <c r="H151" s="49">
        <f>400*D151</f>
        <v>0</v>
      </c>
      <c r="I151" s="50">
        <f>300*D151</f>
        <v>0</v>
      </c>
      <c r="J151" s="49">
        <f>500*D151</f>
        <v>0</v>
      </c>
      <c r="K151" s="49">
        <f>200*D151</f>
        <v>0</v>
      </c>
      <c r="L151" s="50">
        <f>200*D151</f>
        <v>0</v>
      </c>
      <c r="M151" s="49">
        <f>2%*G151</f>
        <v>0</v>
      </c>
      <c r="N151" s="51">
        <f>SUM(G151:M151)</f>
        <v>0</v>
      </c>
      <c r="O151" s="131">
        <f>D91</f>
        <v>0</v>
      </c>
      <c r="P151" s="49">
        <f>G151*$O151</f>
        <v>0</v>
      </c>
      <c r="Q151" s="49">
        <f t="shared" ref="Q151:V151" si="28">H151*$O151</f>
        <v>0</v>
      </c>
      <c r="R151" s="49">
        <f t="shared" si="28"/>
        <v>0</v>
      </c>
      <c r="S151" s="49">
        <f t="shared" si="28"/>
        <v>0</v>
      </c>
      <c r="T151" s="49">
        <f t="shared" si="28"/>
        <v>0</v>
      </c>
      <c r="U151" s="49">
        <f t="shared" si="28"/>
        <v>0</v>
      </c>
      <c r="V151" s="49">
        <f t="shared" si="28"/>
        <v>0</v>
      </c>
      <c r="W151" s="51">
        <f>SUM(P151:V151)</f>
        <v>0</v>
      </c>
      <c r="X151" s="51">
        <f>W151*80%</f>
        <v>0</v>
      </c>
      <c r="Y151" s="51">
        <f>W151*20%</f>
        <v>0</v>
      </c>
    </row>
    <row r="152" spans="1:25" s="3" customFormat="1" x14ac:dyDescent="0.35">
      <c r="A152" s="13"/>
      <c r="B152" s="59"/>
      <c r="C152" s="12">
        <f>SUM(C151)</f>
        <v>0</v>
      </c>
      <c r="D152" s="54"/>
      <c r="E152" s="13"/>
      <c r="F152" s="60"/>
      <c r="G152" s="60"/>
      <c r="H152" s="55"/>
      <c r="I152" s="60"/>
      <c r="J152" s="54"/>
      <c r="K152" s="54"/>
      <c r="P152" s="55">
        <f>SUM(P151)</f>
        <v>0</v>
      </c>
      <c r="Q152" s="55">
        <f t="shared" ref="Q152:Y152" si="29">SUM(Q151)</f>
        <v>0</v>
      </c>
      <c r="R152" s="55">
        <f t="shared" si="29"/>
        <v>0</v>
      </c>
      <c r="S152" s="55">
        <f t="shared" si="29"/>
        <v>0</v>
      </c>
      <c r="T152" s="55">
        <f t="shared" si="29"/>
        <v>0</v>
      </c>
      <c r="U152" s="55">
        <f t="shared" si="29"/>
        <v>0</v>
      </c>
      <c r="V152" s="55">
        <f t="shared" si="29"/>
        <v>0</v>
      </c>
      <c r="W152" s="55">
        <f t="shared" si="29"/>
        <v>0</v>
      </c>
      <c r="X152" s="55">
        <f t="shared" si="29"/>
        <v>0</v>
      </c>
      <c r="Y152" s="55">
        <f t="shared" si="29"/>
        <v>0</v>
      </c>
    </row>
    <row r="153" spans="1:25" s="3" customFormat="1" x14ac:dyDescent="0.35">
      <c r="A153" s="13"/>
      <c r="B153" s="53"/>
      <c r="C153" s="13"/>
      <c r="D153" s="54"/>
      <c r="E153" s="13"/>
      <c r="F153" s="6"/>
      <c r="G153" s="6"/>
      <c r="H153" s="54"/>
      <c r="I153" s="6"/>
      <c r="J153" s="54"/>
      <c r="K153" s="54"/>
    </row>
    <row r="154" spans="1:25" s="3" customFormat="1" x14ac:dyDescent="0.35">
      <c r="A154" s="45" t="s">
        <v>161</v>
      </c>
      <c r="B154" s="53"/>
      <c r="C154" s="13"/>
      <c r="D154" s="54"/>
      <c r="E154" s="13"/>
      <c r="F154" s="6"/>
      <c r="G154" s="6"/>
      <c r="H154" s="54"/>
      <c r="I154" s="6"/>
      <c r="J154" s="54"/>
      <c r="K154" s="54"/>
    </row>
    <row r="155" spans="1:25" s="3" customFormat="1" x14ac:dyDescent="0.35">
      <c r="B155" s="18"/>
      <c r="C155" s="18"/>
      <c r="D155" s="18"/>
      <c r="E155" s="18"/>
      <c r="F155" s="18"/>
      <c r="G155" s="18"/>
      <c r="H155" s="18"/>
      <c r="I155" s="5"/>
      <c r="J155" s="4"/>
      <c r="K155" s="4"/>
      <c r="L155" s="4"/>
    </row>
    <row r="156" spans="1:25" s="3" customFormat="1" ht="39" x14ac:dyDescent="0.35">
      <c r="B156" s="8" t="s">
        <v>33</v>
      </c>
      <c r="C156" s="8" t="s">
        <v>94</v>
      </c>
      <c r="D156" s="8" t="s">
        <v>95</v>
      </c>
      <c r="E156" s="61" t="s">
        <v>96</v>
      </c>
      <c r="F156" s="10" t="s">
        <v>97</v>
      </c>
      <c r="G156" s="10" t="s">
        <v>98</v>
      </c>
      <c r="I156" s="6"/>
    </row>
    <row r="157" spans="1:25" s="3" customFormat="1" x14ac:dyDescent="0.35">
      <c r="B157" s="43">
        <v>1</v>
      </c>
      <c r="C157" s="46" t="s">
        <v>172</v>
      </c>
      <c r="D157" s="62">
        <f>C109</f>
        <v>0</v>
      </c>
      <c r="E157" s="50">
        <v>11805</v>
      </c>
      <c r="F157" s="63">
        <f>D157*E157*40%</f>
        <v>0</v>
      </c>
      <c r="G157" s="63">
        <f>D157*E157*60%</f>
        <v>0</v>
      </c>
      <c r="H157" s="4"/>
      <c r="I157" s="5"/>
      <c r="J157" s="4"/>
      <c r="K157" s="4"/>
      <c r="L157" s="4"/>
    </row>
    <row r="158" spans="1:25" s="3" customFormat="1" x14ac:dyDescent="0.35">
      <c r="B158" s="43">
        <v>2</v>
      </c>
      <c r="C158" s="46" t="s">
        <v>173</v>
      </c>
      <c r="D158" s="62">
        <f>D109</f>
        <v>0</v>
      </c>
      <c r="E158" s="50">
        <v>11805</v>
      </c>
      <c r="F158" s="63">
        <f t="shared" ref="F158:F163" si="30">D158*E158*40%</f>
        <v>0</v>
      </c>
      <c r="G158" s="63">
        <f t="shared" ref="G158:G163" si="31">D158*E158*60%</f>
        <v>0</v>
      </c>
      <c r="H158" s="4"/>
      <c r="I158" s="5"/>
      <c r="J158" s="4"/>
      <c r="K158" s="4"/>
      <c r="L158" s="4"/>
    </row>
    <row r="159" spans="1:25" s="3" customFormat="1" x14ac:dyDescent="0.35">
      <c r="B159" s="43">
        <v>3</v>
      </c>
      <c r="C159" s="46" t="s">
        <v>174</v>
      </c>
      <c r="D159" s="62">
        <f>C110</f>
        <v>0</v>
      </c>
      <c r="E159" s="50">
        <v>11805</v>
      </c>
      <c r="F159" s="63">
        <f t="shared" si="30"/>
        <v>0</v>
      </c>
      <c r="G159" s="63">
        <f t="shared" si="31"/>
        <v>0</v>
      </c>
      <c r="H159" s="4"/>
      <c r="I159" s="5"/>
      <c r="J159" s="4"/>
      <c r="K159" s="4"/>
      <c r="L159" s="4"/>
    </row>
    <row r="160" spans="1:25" s="3" customFormat="1" x14ac:dyDescent="0.35">
      <c r="B160" s="43">
        <v>4</v>
      </c>
      <c r="C160" s="46" t="s">
        <v>175</v>
      </c>
      <c r="D160" s="62">
        <f>D110</f>
        <v>0</v>
      </c>
      <c r="E160" s="50">
        <v>11805</v>
      </c>
      <c r="F160" s="63">
        <f t="shared" si="30"/>
        <v>0</v>
      </c>
      <c r="G160" s="63">
        <f t="shared" si="31"/>
        <v>0</v>
      </c>
      <c r="H160" s="4"/>
      <c r="I160" s="5"/>
      <c r="J160" s="4"/>
      <c r="K160" s="4"/>
      <c r="L160" s="4"/>
    </row>
    <row r="161" spans="1:12" s="3" customFormat="1" x14ac:dyDescent="0.35">
      <c r="B161" s="43">
        <v>5</v>
      </c>
      <c r="C161" s="46" t="s">
        <v>51</v>
      </c>
      <c r="D161" s="62">
        <f>C105</f>
        <v>0</v>
      </c>
      <c r="E161" s="50">
        <v>11805</v>
      </c>
      <c r="F161" s="63">
        <f t="shared" si="30"/>
        <v>0</v>
      </c>
      <c r="G161" s="63">
        <f t="shared" si="31"/>
        <v>0</v>
      </c>
      <c r="H161" s="4"/>
      <c r="I161" s="5"/>
      <c r="J161" s="4"/>
      <c r="K161" s="4"/>
      <c r="L161" s="4"/>
    </row>
    <row r="162" spans="1:12" s="3" customFormat="1" x14ac:dyDescent="0.35">
      <c r="B162" s="43">
        <v>6</v>
      </c>
      <c r="C162" s="46" t="s">
        <v>52</v>
      </c>
      <c r="D162" s="62">
        <f>D105</f>
        <v>0</v>
      </c>
      <c r="E162" s="50">
        <v>11805</v>
      </c>
      <c r="F162" s="63">
        <f t="shared" si="30"/>
        <v>0</v>
      </c>
      <c r="G162" s="63">
        <f t="shared" si="31"/>
        <v>0</v>
      </c>
      <c r="H162" s="4"/>
      <c r="I162" s="5"/>
      <c r="J162" s="4"/>
      <c r="K162" s="4"/>
      <c r="L162" s="4"/>
    </row>
    <row r="163" spans="1:12" s="3" customFormat="1" x14ac:dyDescent="0.35">
      <c r="B163" s="43">
        <v>7</v>
      </c>
      <c r="C163" s="46" t="s">
        <v>48</v>
      </c>
      <c r="D163" s="62">
        <f>E105</f>
        <v>0</v>
      </c>
      <c r="E163" s="50">
        <v>11805</v>
      </c>
      <c r="F163" s="63">
        <f t="shared" si="30"/>
        <v>0</v>
      </c>
      <c r="G163" s="63">
        <f t="shared" si="31"/>
        <v>0</v>
      </c>
      <c r="H163" s="4"/>
      <c r="I163" s="5"/>
      <c r="J163" s="4"/>
      <c r="K163" s="4"/>
      <c r="L163" s="4"/>
    </row>
    <row r="164" spans="1:12" s="3" customFormat="1" x14ac:dyDescent="0.35">
      <c r="C164" s="64"/>
      <c r="E164" s="132" t="s">
        <v>176</v>
      </c>
      <c r="F164" s="68">
        <f>SUM(F157:F163)</f>
        <v>0</v>
      </c>
      <c r="G164" s="68">
        <f>SUM(G157:G163)</f>
        <v>0</v>
      </c>
      <c r="H164" s="4"/>
      <c r="I164" s="5"/>
      <c r="J164" s="4"/>
      <c r="K164" s="4"/>
      <c r="L164" s="4"/>
    </row>
    <row r="165" spans="1:12" s="3" customFormat="1" x14ac:dyDescent="0.35">
      <c r="C165" s="64"/>
      <c r="E165" s="132"/>
      <c r="F165" s="68"/>
      <c r="G165" s="68"/>
      <c r="H165" s="4"/>
      <c r="I165" s="5"/>
      <c r="J165" s="4"/>
      <c r="K165" s="4"/>
      <c r="L165" s="4"/>
    </row>
    <row r="166" spans="1:12" s="3" customFormat="1" x14ac:dyDescent="0.35">
      <c r="A166" s="45" t="s">
        <v>41</v>
      </c>
    </row>
    <row r="167" spans="1:12" s="3" customFormat="1" ht="26" x14ac:dyDescent="0.35">
      <c r="A167" s="8" t="s">
        <v>33</v>
      </c>
      <c r="B167" s="8" t="s">
        <v>94</v>
      </c>
      <c r="C167" s="8" t="s">
        <v>95</v>
      </c>
      <c r="D167" s="61" t="s">
        <v>96</v>
      </c>
      <c r="E167" s="10" t="s">
        <v>99</v>
      </c>
    </row>
    <row r="168" spans="1:12" s="3" customFormat="1" x14ac:dyDescent="0.35">
      <c r="A168" s="43">
        <v>1</v>
      </c>
      <c r="B168" s="46">
        <f>C94</f>
        <v>0</v>
      </c>
      <c r="C168" s="44">
        <f>C95</f>
        <v>0</v>
      </c>
      <c r="D168" s="50">
        <v>11805</v>
      </c>
      <c r="E168" s="66">
        <f>C168*D168</f>
        <v>0</v>
      </c>
      <c r="H168" s="18"/>
      <c r="I168" s="5"/>
      <c r="J168" s="4"/>
      <c r="K168" s="4"/>
      <c r="L168" s="4"/>
    </row>
    <row r="169" spans="1:12" s="3" customFormat="1" x14ac:dyDescent="0.35">
      <c r="A169" s="18"/>
      <c r="B169" s="18"/>
      <c r="C169" s="64"/>
      <c r="H169" s="18"/>
      <c r="I169" s="5"/>
      <c r="J169" s="4"/>
      <c r="K169" s="4"/>
      <c r="L169" s="4"/>
    </row>
    <row r="170" spans="1:12" s="3" customFormat="1" x14ac:dyDescent="0.35">
      <c r="A170" s="45" t="s">
        <v>205</v>
      </c>
      <c r="F170" s="55"/>
      <c r="G170" s="5"/>
      <c r="H170" s="4"/>
      <c r="I170" s="5"/>
      <c r="J170" s="4"/>
      <c r="K170" s="4"/>
      <c r="L170" s="4"/>
    </row>
    <row r="171" spans="1:12" s="3" customFormat="1" ht="26" x14ac:dyDescent="0.35">
      <c r="A171" s="8" t="s">
        <v>33</v>
      </c>
      <c r="B171" s="8" t="s">
        <v>94</v>
      </c>
      <c r="C171" s="8" t="s">
        <v>95</v>
      </c>
      <c r="D171" s="61" t="s">
        <v>96</v>
      </c>
      <c r="E171" s="10" t="s">
        <v>99</v>
      </c>
      <c r="F171" s="55"/>
      <c r="G171" s="5"/>
      <c r="H171" s="4"/>
      <c r="I171" s="5"/>
      <c r="J171" s="4"/>
      <c r="K171" s="4"/>
      <c r="L171" s="4"/>
    </row>
    <row r="172" spans="1:12" s="3" customFormat="1" x14ac:dyDescent="0.35">
      <c r="A172" s="43">
        <v>1</v>
      </c>
      <c r="B172" s="46" t="str">
        <f>C99</f>
        <v>DEBDA0319-T1-BC.8</v>
      </c>
      <c r="C172" s="44">
        <f>C100</f>
        <v>520.5</v>
      </c>
      <c r="D172" s="50">
        <v>11805</v>
      </c>
      <c r="E172" s="66">
        <f>C172*D172</f>
        <v>6144502.5</v>
      </c>
      <c r="F172" s="55"/>
      <c r="G172" s="5"/>
      <c r="H172" s="4"/>
      <c r="I172" s="5"/>
      <c r="J172" s="4"/>
      <c r="K172" s="4"/>
      <c r="L172" s="4"/>
    </row>
    <row r="173" spans="1:12" s="3" customFormat="1" x14ac:dyDescent="0.35">
      <c r="C173" s="64"/>
      <c r="F173" s="55"/>
      <c r="G173" s="5"/>
      <c r="H173" s="4"/>
      <c r="I173" s="5"/>
      <c r="J173" s="4"/>
      <c r="K173" s="4"/>
      <c r="L173" s="4"/>
    </row>
    <row r="174" spans="1:12" s="3" customFormat="1" x14ac:dyDescent="0.35">
      <c r="A174" s="65" t="s">
        <v>100</v>
      </c>
      <c r="C174" s="64"/>
      <c r="F174" s="55"/>
      <c r="G174" s="5"/>
      <c r="H174" s="4"/>
      <c r="I174" s="5"/>
      <c r="J174" s="4"/>
      <c r="K174" s="4"/>
      <c r="L174" s="4"/>
    </row>
    <row r="175" spans="1:12" s="3" customFormat="1" ht="26" x14ac:dyDescent="0.35">
      <c r="A175" s="8" t="s">
        <v>33</v>
      </c>
      <c r="B175" s="8" t="s">
        <v>94</v>
      </c>
      <c r="C175" s="8" t="s">
        <v>95</v>
      </c>
      <c r="D175" s="10" t="s">
        <v>96</v>
      </c>
      <c r="E175" s="10" t="s">
        <v>99</v>
      </c>
      <c r="F175" s="55"/>
      <c r="G175" s="5"/>
      <c r="H175" s="4"/>
      <c r="I175" s="5"/>
      <c r="J175" s="4"/>
      <c r="K175" s="4"/>
      <c r="L175" s="4"/>
    </row>
    <row r="176" spans="1:12" s="3" customFormat="1" x14ac:dyDescent="0.35">
      <c r="A176" s="43">
        <v>1</v>
      </c>
      <c r="B176" s="67" t="s">
        <v>100</v>
      </c>
      <c r="C176" s="62">
        <f>L117</f>
        <v>-33</v>
      </c>
      <c r="D176" s="50">
        <v>11805</v>
      </c>
      <c r="E176" s="51">
        <f>C176*D176</f>
        <v>-389565</v>
      </c>
      <c r="F176" s="55"/>
      <c r="G176" s="5"/>
      <c r="H176" s="4"/>
      <c r="I176" s="5"/>
      <c r="J176" s="4"/>
      <c r="K176" s="4"/>
      <c r="L176" s="4"/>
    </row>
    <row r="178" spans="1:10" x14ac:dyDescent="0.35">
      <c r="A178" s="295" t="s">
        <v>101</v>
      </c>
      <c r="B178" s="295"/>
      <c r="C178" s="295"/>
      <c r="D178" s="295"/>
      <c r="E178" s="295"/>
      <c r="F178" s="295"/>
      <c r="G178" s="295"/>
      <c r="H178" s="295"/>
      <c r="I178" s="295"/>
      <c r="J178" s="295"/>
    </row>
    <row r="180" spans="1:10" s="137" customFormat="1" x14ac:dyDescent="0.35">
      <c r="A180" s="288" t="s">
        <v>33</v>
      </c>
      <c r="B180" s="288" t="s">
        <v>177</v>
      </c>
      <c r="C180" s="288" t="s">
        <v>178</v>
      </c>
      <c r="D180" s="288" t="s">
        <v>179</v>
      </c>
      <c r="E180" s="289" t="s">
        <v>101</v>
      </c>
      <c r="F180" s="290"/>
      <c r="G180" s="290"/>
      <c r="H180" s="290"/>
      <c r="I180" s="290"/>
    </row>
    <row r="181" spans="1:10" s="137" customFormat="1" x14ac:dyDescent="0.35">
      <c r="A181" s="288"/>
      <c r="B181" s="288"/>
      <c r="C181" s="288"/>
      <c r="D181" s="288"/>
      <c r="E181" s="138" t="s">
        <v>180</v>
      </c>
      <c r="F181" s="138" t="s">
        <v>181</v>
      </c>
      <c r="G181" s="136" t="s">
        <v>182</v>
      </c>
      <c r="H181" s="136" t="s">
        <v>102</v>
      </c>
      <c r="I181" s="136" t="s">
        <v>103</v>
      </c>
    </row>
    <row r="182" spans="1:10" s="137" customFormat="1" x14ac:dyDescent="0.35">
      <c r="A182" s="136"/>
      <c r="B182" s="153"/>
      <c r="C182" s="153"/>
      <c r="D182" s="153"/>
      <c r="E182" s="285" t="s">
        <v>220</v>
      </c>
      <c r="F182" s="286"/>
      <c r="G182" s="287"/>
    </row>
    <row r="183" spans="1:10" s="137" customFormat="1" ht="29" customHeight="1" x14ac:dyDescent="0.35">
      <c r="A183" s="292">
        <v>1</v>
      </c>
      <c r="B183" s="293" t="s">
        <v>183</v>
      </c>
      <c r="C183" s="293"/>
      <c r="D183" s="153"/>
      <c r="E183" s="142">
        <v>1169143</v>
      </c>
      <c r="F183" s="133" t="s">
        <v>207</v>
      </c>
      <c r="G183" s="133" t="s">
        <v>241</v>
      </c>
      <c r="H183" s="149">
        <f>SUM(P138,P146,P152)</f>
        <v>0</v>
      </c>
      <c r="I183" s="145"/>
      <c r="J183" s="291" t="s">
        <v>214</v>
      </c>
    </row>
    <row r="184" spans="1:10" s="137" customFormat="1" x14ac:dyDescent="0.35">
      <c r="A184" s="292"/>
      <c r="B184" s="293"/>
      <c r="C184" s="293"/>
      <c r="D184" s="153"/>
      <c r="E184" s="143">
        <v>1169174</v>
      </c>
      <c r="F184" s="133" t="s">
        <v>208</v>
      </c>
      <c r="G184" s="133" t="s">
        <v>242</v>
      </c>
      <c r="H184" s="149">
        <f>SUM(Q138,Q146,Q152)</f>
        <v>0</v>
      </c>
      <c r="I184" s="145"/>
      <c r="J184" s="291"/>
    </row>
    <row r="185" spans="1:10" s="137" customFormat="1" ht="31" customHeight="1" x14ac:dyDescent="0.35">
      <c r="A185" s="292"/>
      <c r="B185" s="293"/>
      <c r="C185" s="293"/>
      <c r="D185" s="153"/>
      <c r="E185" s="142">
        <v>1169263</v>
      </c>
      <c r="F185" s="133" t="s">
        <v>209</v>
      </c>
      <c r="G185" s="133" t="s">
        <v>243</v>
      </c>
      <c r="H185" s="149">
        <f>SUM(R138,R146,R152)</f>
        <v>0</v>
      </c>
      <c r="I185" s="145"/>
      <c r="J185" s="291"/>
    </row>
    <row r="186" spans="1:10" s="137" customFormat="1" ht="30" customHeight="1" x14ac:dyDescent="0.35">
      <c r="A186" s="292"/>
      <c r="B186" s="293"/>
      <c r="C186" s="293"/>
      <c r="D186" s="153"/>
      <c r="E186" s="142">
        <v>1169202</v>
      </c>
      <c r="F186" s="133" t="s">
        <v>210</v>
      </c>
      <c r="G186" s="133" t="s">
        <v>244</v>
      </c>
      <c r="H186" s="149">
        <f>SUM(S138,S146,S152)</f>
        <v>0</v>
      </c>
      <c r="I186" s="145"/>
      <c r="J186" s="291"/>
    </row>
    <row r="187" spans="1:10" s="137" customFormat="1" ht="28.5" customHeight="1" x14ac:dyDescent="0.35">
      <c r="A187" s="292"/>
      <c r="B187" s="293"/>
      <c r="C187" s="293"/>
      <c r="D187" s="153"/>
      <c r="E187" s="142">
        <v>1169233</v>
      </c>
      <c r="F187" s="133" t="s">
        <v>211</v>
      </c>
      <c r="G187" s="133" t="s">
        <v>245</v>
      </c>
      <c r="H187" s="149">
        <f>SUM(T138,T146,T152)</f>
        <v>0</v>
      </c>
      <c r="I187" s="145"/>
      <c r="J187" s="291"/>
    </row>
    <row r="188" spans="1:10" s="137" customFormat="1" ht="28.5" customHeight="1" x14ac:dyDescent="0.35">
      <c r="A188" s="292"/>
      <c r="B188" s="293"/>
      <c r="C188" s="293"/>
      <c r="D188" s="153"/>
      <c r="E188" s="142">
        <v>1169294</v>
      </c>
      <c r="F188" s="133" t="s">
        <v>212</v>
      </c>
      <c r="G188" s="133" t="s">
        <v>246</v>
      </c>
      <c r="H188" s="149">
        <f>SUM(U138,U146,U152)</f>
        <v>0</v>
      </c>
      <c r="I188" s="145"/>
      <c r="J188" s="291"/>
    </row>
    <row r="189" spans="1:10" s="137" customFormat="1" ht="28.5" customHeight="1" x14ac:dyDescent="0.35">
      <c r="A189" s="292"/>
      <c r="B189" s="293"/>
      <c r="C189" s="293"/>
      <c r="D189" s="153"/>
      <c r="E189" s="142">
        <v>1169324</v>
      </c>
      <c r="F189" s="133" t="s">
        <v>213</v>
      </c>
      <c r="G189" s="133" t="s">
        <v>247</v>
      </c>
      <c r="H189" s="149">
        <f>SUM(V138,V146,V152)</f>
        <v>0</v>
      </c>
      <c r="I189" s="145"/>
      <c r="J189" s="291"/>
    </row>
    <row r="190" spans="1:10" s="137" customFormat="1" ht="28.5" customHeight="1" x14ac:dyDescent="0.35">
      <c r="A190" s="292"/>
      <c r="B190" s="293"/>
      <c r="C190" s="293"/>
      <c r="D190" s="153"/>
      <c r="E190" s="142"/>
      <c r="F190" s="134" t="s">
        <v>215</v>
      </c>
      <c r="G190" s="144"/>
      <c r="H190" s="146"/>
      <c r="I190" s="152">
        <f>SUM(Y146,Y152)</f>
        <v>0</v>
      </c>
      <c r="J190" s="291"/>
    </row>
    <row r="191" spans="1:10" s="137" customFormat="1" ht="14.5" customHeight="1" x14ac:dyDescent="0.35">
      <c r="A191" s="292"/>
      <c r="B191" s="293"/>
      <c r="C191" s="293"/>
      <c r="D191" s="153"/>
      <c r="E191" s="285" t="s">
        <v>221</v>
      </c>
      <c r="F191" s="286"/>
      <c r="G191" s="287"/>
      <c r="H191" s="155"/>
      <c r="I191" s="156"/>
    </row>
    <row r="192" spans="1:10" s="137" customFormat="1" ht="28.5" customHeight="1" x14ac:dyDescent="0.35">
      <c r="A192" s="292"/>
      <c r="B192" s="293"/>
      <c r="C192" s="293"/>
      <c r="D192" s="153"/>
      <c r="E192" s="142" t="s">
        <v>184</v>
      </c>
      <c r="F192" s="133" t="s">
        <v>185</v>
      </c>
      <c r="G192" s="133" t="s">
        <v>186</v>
      </c>
      <c r="H192" s="146">
        <f>F164</f>
        <v>0</v>
      </c>
      <c r="I192" s="145"/>
      <c r="J192" s="291" t="s">
        <v>252</v>
      </c>
    </row>
    <row r="193" spans="1:11" s="137" customFormat="1" ht="28.5" customHeight="1" x14ac:dyDescent="0.35">
      <c r="A193" s="292"/>
      <c r="B193" s="293"/>
      <c r="C193" s="293"/>
      <c r="D193" s="153"/>
      <c r="E193" s="142" t="s">
        <v>191</v>
      </c>
      <c r="F193" s="133" t="s">
        <v>192</v>
      </c>
      <c r="G193" s="133" t="s">
        <v>193</v>
      </c>
      <c r="H193" s="146">
        <f>E168</f>
        <v>0</v>
      </c>
      <c r="I193" s="145"/>
      <c r="J193" s="291"/>
    </row>
    <row r="194" spans="1:11" s="137" customFormat="1" ht="28.5" customHeight="1" x14ac:dyDescent="0.35">
      <c r="A194" s="292"/>
      <c r="B194" s="293"/>
      <c r="C194" s="293"/>
      <c r="D194" s="153"/>
      <c r="E194" s="142"/>
      <c r="F194" s="133" t="s">
        <v>206</v>
      </c>
      <c r="G194" s="133"/>
      <c r="H194" s="146">
        <f>E172</f>
        <v>6144502.5</v>
      </c>
      <c r="I194" s="145"/>
      <c r="J194" s="291"/>
    </row>
    <row r="195" spans="1:11" s="137" customFormat="1" ht="28.5" customHeight="1" x14ac:dyDescent="0.35">
      <c r="A195" s="292"/>
      <c r="B195" s="293"/>
      <c r="C195" s="293"/>
      <c r="D195" s="153"/>
      <c r="E195" s="135" t="s">
        <v>191</v>
      </c>
      <c r="F195" s="134" t="s">
        <v>192</v>
      </c>
      <c r="G195" s="134" t="s">
        <v>265</v>
      </c>
      <c r="H195" s="146"/>
      <c r="I195" s="146">
        <f>D33*F136</f>
        <v>0</v>
      </c>
      <c r="J195" s="291"/>
    </row>
    <row r="196" spans="1:11" s="137" customFormat="1" ht="28.5" customHeight="1" x14ac:dyDescent="0.35">
      <c r="A196" s="292"/>
      <c r="B196" s="293"/>
      <c r="C196" s="293"/>
      <c r="D196" s="153"/>
      <c r="E196" s="134" t="s">
        <v>195</v>
      </c>
      <c r="F196" s="134" t="s">
        <v>248</v>
      </c>
      <c r="G196" s="134" t="s">
        <v>251</v>
      </c>
      <c r="H196" s="145"/>
      <c r="I196" s="146">
        <f>SUM(D34:D36)*F136</f>
        <v>5754937.5</v>
      </c>
      <c r="J196" s="291"/>
    </row>
    <row r="197" spans="1:11" s="137" customFormat="1" x14ac:dyDescent="0.35">
      <c r="A197" s="292"/>
      <c r="B197" s="293"/>
      <c r="C197" s="293"/>
      <c r="D197" s="153"/>
      <c r="E197" s="285" t="s">
        <v>224</v>
      </c>
      <c r="F197" s="286"/>
      <c r="G197" s="287"/>
      <c r="H197" s="155"/>
      <c r="I197" s="156"/>
    </row>
    <row r="198" spans="1:11" s="137" customFormat="1" ht="28.5" customHeight="1" x14ac:dyDescent="0.35">
      <c r="A198" s="292"/>
      <c r="B198" s="293"/>
      <c r="C198" s="293"/>
      <c r="D198" s="153"/>
      <c r="E198" s="142">
        <v>1207129</v>
      </c>
      <c r="F198" s="133" t="s">
        <v>187</v>
      </c>
      <c r="G198" s="133" t="s">
        <v>188</v>
      </c>
      <c r="H198" s="146">
        <f>G164</f>
        <v>0</v>
      </c>
      <c r="I198" s="145"/>
      <c r="J198" s="291" t="s">
        <v>216</v>
      </c>
    </row>
    <row r="199" spans="1:11" s="137" customFormat="1" ht="28.5" customHeight="1" x14ac:dyDescent="0.35">
      <c r="A199" s="292"/>
      <c r="B199" s="293"/>
      <c r="C199" s="293"/>
      <c r="D199" s="153"/>
      <c r="E199" s="139"/>
      <c r="F199" s="140" t="s">
        <v>194</v>
      </c>
      <c r="G199" s="141"/>
      <c r="H199" s="146">
        <f>SUM(Y146,Y152)</f>
        <v>0</v>
      </c>
      <c r="I199" s="145"/>
      <c r="J199" s="291"/>
    </row>
    <row r="200" spans="1:11" s="137" customFormat="1" x14ac:dyDescent="0.35">
      <c r="A200" s="292"/>
      <c r="B200" s="293"/>
      <c r="C200" s="293"/>
      <c r="D200" s="157"/>
      <c r="E200" s="285" t="s">
        <v>222</v>
      </c>
      <c r="F200" s="286"/>
      <c r="G200" s="287"/>
      <c r="H200" s="158"/>
      <c r="I200" s="159"/>
      <c r="J200" s="154"/>
    </row>
    <row r="201" spans="1:11" s="137" customFormat="1" ht="28.5" customHeight="1" x14ac:dyDescent="0.35">
      <c r="A201" s="292"/>
      <c r="B201" s="293"/>
      <c r="C201" s="293"/>
      <c r="D201" s="153"/>
      <c r="E201" s="142">
        <v>1936155</v>
      </c>
      <c r="F201" s="133" t="s">
        <v>189</v>
      </c>
      <c r="G201" s="144" t="s">
        <v>190</v>
      </c>
      <c r="H201" s="146"/>
      <c r="I201" s="175">
        <f>ABS(E176)</f>
        <v>389565</v>
      </c>
      <c r="J201" s="82" t="s">
        <v>217</v>
      </c>
      <c r="K201" s="172" t="s">
        <v>299</v>
      </c>
    </row>
    <row r="202" spans="1:11" s="137" customFormat="1" x14ac:dyDescent="0.35">
      <c r="A202" s="292"/>
      <c r="B202" s="293"/>
      <c r="C202" s="293"/>
      <c r="D202" s="160"/>
      <c r="E202" s="285" t="s">
        <v>223</v>
      </c>
      <c r="F202" s="286"/>
      <c r="G202" s="287"/>
      <c r="H202" s="161"/>
      <c r="I202" s="162"/>
    </row>
    <row r="203" spans="1:11" s="137" customFormat="1" ht="28.5" customHeight="1" x14ac:dyDescent="0.35">
      <c r="A203" s="292"/>
      <c r="B203" s="293"/>
      <c r="C203" s="293"/>
      <c r="D203" s="153"/>
      <c r="E203" s="135">
        <v>75607</v>
      </c>
      <c r="F203" s="134" t="s">
        <v>196</v>
      </c>
      <c r="G203" s="133"/>
      <c r="H203" s="145"/>
      <c r="I203" s="146">
        <f>SUM(Q138,Q146,Q152)</f>
        <v>0</v>
      </c>
      <c r="J203" s="249" t="s">
        <v>218</v>
      </c>
    </row>
    <row r="204" spans="1:11" s="137" customFormat="1" ht="28.5" customHeight="1" x14ac:dyDescent="0.35">
      <c r="A204" s="292"/>
      <c r="B204" s="293"/>
      <c r="C204" s="293"/>
      <c r="D204" s="153"/>
      <c r="E204" s="135">
        <v>75610</v>
      </c>
      <c r="F204" s="134" t="s">
        <v>199</v>
      </c>
      <c r="G204" s="133"/>
      <c r="H204" s="145"/>
      <c r="I204" s="146">
        <f>SUM(R138,R146,R152)</f>
        <v>0</v>
      </c>
      <c r="J204" s="249"/>
    </row>
    <row r="205" spans="1:11" s="137" customFormat="1" ht="28.5" customHeight="1" x14ac:dyDescent="0.35">
      <c r="A205" s="292"/>
      <c r="B205" s="293"/>
      <c r="C205" s="293"/>
      <c r="D205" s="153"/>
      <c r="E205" s="135">
        <v>75608</v>
      </c>
      <c r="F205" s="134" t="s">
        <v>197</v>
      </c>
      <c r="G205" s="133"/>
      <c r="H205" s="145"/>
      <c r="I205" s="146">
        <f>SUM(S138,S146,S152)</f>
        <v>0</v>
      </c>
      <c r="J205" s="249"/>
    </row>
    <row r="206" spans="1:11" s="137" customFormat="1" ht="28.5" customHeight="1" x14ac:dyDescent="0.35">
      <c r="A206" s="292"/>
      <c r="B206" s="293"/>
      <c r="C206" s="293"/>
      <c r="D206" s="153"/>
      <c r="E206" s="135">
        <v>75609</v>
      </c>
      <c r="F206" s="134" t="s">
        <v>198</v>
      </c>
      <c r="G206" s="133"/>
      <c r="H206" s="145"/>
      <c r="I206" s="146">
        <f>SUM(T138,T146,T152)</f>
        <v>0</v>
      </c>
      <c r="J206" s="249"/>
    </row>
    <row r="207" spans="1:11" s="137" customFormat="1" ht="24" customHeight="1" x14ac:dyDescent="0.35">
      <c r="A207" s="292"/>
      <c r="B207" s="293"/>
      <c r="C207" s="293"/>
      <c r="D207" s="153"/>
      <c r="E207" s="135">
        <v>75611</v>
      </c>
      <c r="F207" s="134" t="s">
        <v>200</v>
      </c>
      <c r="G207" s="133"/>
      <c r="H207" s="145"/>
      <c r="I207" s="146">
        <f>SUM(U138,U146,U152)</f>
        <v>0</v>
      </c>
      <c r="J207" s="249"/>
    </row>
    <row r="208" spans="1:11" s="137" customFormat="1" ht="29" x14ac:dyDescent="0.35">
      <c r="A208" s="292"/>
      <c r="B208" s="293"/>
      <c r="C208" s="293"/>
      <c r="D208" s="153"/>
      <c r="E208" s="135">
        <v>75612</v>
      </c>
      <c r="F208" s="134" t="s">
        <v>219</v>
      </c>
      <c r="G208" s="133"/>
      <c r="H208" s="145"/>
      <c r="I208" s="146">
        <f>SUM(V138,V146,V152)</f>
        <v>0</v>
      </c>
      <c r="J208" s="249"/>
    </row>
    <row r="209" spans="1:10" s="137" customFormat="1" ht="24" customHeight="1" x14ac:dyDescent="0.35">
      <c r="A209" s="292"/>
      <c r="B209" s="293"/>
      <c r="C209" s="293"/>
      <c r="D209" s="153"/>
      <c r="E209" s="147"/>
      <c r="F209" s="147"/>
      <c r="G209" s="150"/>
      <c r="H209" s="148">
        <f>SUM(H183:H208)</f>
        <v>6144502.5</v>
      </c>
      <c r="I209" s="148">
        <f>SUM(I183:I208)</f>
        <v>6144502.5</v>
      </c>
      <c r="J209" s="151">
        <f>H209-I209</f>
        <v>0</v>
      </c>
    </row>
    <row r="210" spans="1:10" s="137" customFormat="1" ht="24" customHeight="1" x14ac:dyDescent="0.35">
      <c r="A210" s="292"/>
      <c r="B210" s="293"/>
      <c r="C210" s="293"/>
      <c r="D210" s="153"/>
      <c r="E210" s="142" t="s">
        <v>201</v>
      </c>
      <c r="F210" s="133" t="s">
        <v>202</v>
      </c>
      <c r="G210" s="133"/>
      <c r="H210" s="146">
        <f>SUM(W136:W137,W146,W152)</f>
        <v>0</v>
      </c>
      <c r="I210" s="145"/>
    </row>
    <row r="211" spans="1:10" s="137" customFormat="1" ht="24" customHeight="1" x14ac:dyDescent="0.35">
      <c r="A211" s="292"/>
      <c r="B211" s="293"/>
      <c r="C211" s="293"/>
      <c r="D211" s="153"/>
      <c r="E211" s="135">
        <v>1169873</v>
      </c>
      <c r="F211" s="134" t="s">
        <v>203</v>
      </c>
      <c r="G211" s="133"/>
      <c r="H211" s="145"/>
      <c r="I211" s="149">
        <f>SUM(H183:H189)</f>
        <v>0</v>
      </c>
    </row>
    <row r="212" spans="1:10" s="137" customFormat="1" ht="24" customHeight="1" x14ac:dyDescent="0.35">
      <c r="A212" s="292"/>
      <c r="B212" s="293"/>
      <c r="C212" s="293"/>
      <c r="D212" s="153"/>
      <c r="E212" s="147"/>
      <c r="F212" s="147"/>
      <c r="G212" s="150"/>
      <c r="H212" s="148">
        <f>SUM(H210:H211)</f>
        <v>0</v>
      </c>
      <c r="I212" s="148">
        <f>SUM(I210:I211)</f>
        <v>0</v>
      </c>
    </row>
  </sheetData>
  <mergeCells count="40">
    <mergeCell ref="A22:L22"/>
    <mergeCell ref="A3:L3"/>
    <mergeCell ref="E6:F6"/>
    <mergeCell ref="G6:H6"/>
    <mergeCell ref="E14:F14"/>
    <mergeCell ref="G14:H14"/>
    <mergeCell ref="P134:W134"/>
    <mergeCell ref="D31:F31"/>
    <mergeCell ref="H31:I31"/>
    <mergeCell ref="C107:E107"/>
    <mergeCell ref="D116:G116"/>
    <mergeCell ref="D117:G117"/>
    <mergeCell ref="G120:I120"/>
    <mergeCell ref="G122:G125"/>
    <mergeCell ref="H122:H125"/>
    <mergeCell ref="I122:I125"/>
    <mergeCell ref="A132:L132"/>
    <mergeCell ref="G134:N134"/>
    <mergeCell ref="A180:A181"/>
    <mergeCell ref="B180:B181"/>
    <mergeCell ref="C180:C181"/>
    <mergeCell ref="D180:D181"/>
    <mergeCell ref="E180:I180"/>
    <mergeCell ref="G141:N141"/>
    <mergeCell ref="P141:W141"/>
    <mergeCell ref="G149:N149"/>
    <mergeCell ref="P149:W149"/>
    <mergeCell ref="A178:J178"/>
    <mergeCell ref="E202:G202"/>
    <mergeCell ref="J203:J208"/>
    <mergeCell ref="E182:G182"/>
    <mergeCell ref="A183:A212"/>
    <mergeCell ref="B183:B212"/>
    <mergeCell ref="C183:C212"/>
    <mergeCell ref="J183:J190"/>
    <mergeCell ref="E191:G191"/>
    <mergeCell ref="J192:J196"/>
    <mergeCell ref="E197:G197"/>
    <mergeCell ref="J198:J199"/>
    <mergeCell ref="E200:G200"/>
  </mergeCells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94C3-A5BE-47CA-A792-40755C529267}">
  <sheetPr>
    <tabColor rgb="FFFFFF00"/>
  </sheetPr>
  <dimension ref="A1:AG213"/>
  <sheetViews>
    <sheetView zoomScale="85" zoomScaleNormal="85" workbookViewId="0">
      <selection activeCell="F158" sqref="F158"/>
    </sheetView>
  </sheetViews>
  <sheetFormatPr defaultRowHeight="14.5" x14ac:dyDescent="0.35"/>
  <cols>
    <col min="1" max="1" width="11.26953125" style="1" customWidth="1"/>
    <col min="2" max="2" width="18.54296875" style="1" customWidth="1"/>
    <col min="3" max="3" width="25.81640625" style="1" customWidth="1"/>
    <col min="4" max="4" width="17.90625" style="1" bestFit="1" customWidth="1"/>
    <col min="5" max="5" width="15" style="1" customWidth="1"/>
    <col min="6" max="6" width="28.36328125" style="1" customWidth="1"/>
    <col min="7" max="7" width="36.08984375" style="1" customWidth="1"/>
    <col min="8" max="8" width="16.453125" style="1" customWidth="1"/>
    <col min="9" max="9" width="16.1796875" style="1" bestFit="1" customWidth="1"/>
    <col min="10" max="10" width="15.36328125" style="1" customWidth="1"/>
    <col min="11" max="11" width="13.54296875" style="1" customWidth="1"/>
    <col min="12" max="12" width="14.1796875" style="1" customWidth="1"/>
    <col min="13" max="13" width="17.1796875" style="1" customWidth="1"/>
    <col min="14" max="14" width="15.36328125" style="1" customWidth="1"/>
    <col min="15" max="15" width="14.08984375" style="1" customWidth="1"/>
    <col min="16" max="16" width="14.6328125" style="1" bestFit="1" customWidth="1"/>
    <col min="17" max="17" width="11.81640625" style="1" bestFit="1" customWidth="1"/>
    <col min="18" max="18" width="14.90625" style="1" customWidth="1"/>
    <col min="19" max="19" width="15.453125" style="1" customWidth="1"/>
    <col min="20" max="20" width="12" style="1" customWidth="1"/>
    <col min="21" max="21" width="12.7265625" style="1" customWidth="1"/>
    <col min="22" max="22" width="13" style="1" customWidth="1"/>
    <col min="23" max="23" width="14.36328125" style="1" customWidth="1"/>
    <col min="24" max="24" width="15.1796875" style="1" customWidth="1"/>
    <col min="25" max="25" width="14.453125" style="1" customWidth="1"/>
    <col min="26" max="27" width="11.08984375" style="1" customWidth="1"/>
    <col min="28" max="16384" width="8.7265625" style="1"/>
  </cols>
  <sheetData>
    <row r="1" spans="1:12" x14ac:dyDescent="0.35">
      <c r="A1" s="69" t="s">
        <v>269</v>
      </c>
    </row>
    <row r="3" spans="1:12" x14ac:dyDescent="0.35">
      <c r="A3" s="248" t="s">
        <v>254</v>
      </c>
      <c r="B3" s="248"/>
      <c r="C3" s="248"/>
      <c r="D3" s="248"/>
      <c r="E3" s="248"/>
      <c r="F3" s="248"/>
      <c r="G3" s="248"/>
      <c r="H3" s="248"/>
      <c r="I3" s="248"/>
      <c r="J3" s="248"/>
      <c r="K3" s="248"/>
      <c r="L3" s="248"/>
    </row>
    <row r="5" spans="1:12" x14ac:dyDescent="0.35">
      <c r="A5" s="69" t="s">
        <v>271</v>
      </c>
      <c r="B5" s="78"/>
      <c r="C5" s="77"/>
      <c r="D5" s="77"/>
      <c r="E5" s="77"/>
    </row>
    <row r="6" spans="1:12" x14ac:dyDescent="0.35">
      <c r="B6" s="78"/>
      <c r="C6" s="77"/>
      <c r="D6" s="77"/>
      <c r="E6" s="249" t="s">
        <v>140</v>
      </c>
      <c r="F6" s="249"/>
      <c r="G6" s="250" t="s">
        <v>145</v>
      </c>
      <c r="H6" s="250"/>
    </row>
    <row r="7" spans="1:12" ht="26" x14ac:dyDescent="0.35">
      <c r="B7" s="10" t="s">
        <v>65</v>
      </c>
      <c r="C7" s="10" t="s">
        <v>104</v>
      </c>
      <c r="D7" s="10" t="s">
        <v>117</v>
      </c>
      <c r="E7" s="10" t="s">
        <v>118</v>
      </c>
      <c r="F7" s="10" t="s">
        <v>122</v>
      </c>
      <c r="G7" s="103" t="s">
        <v>118</v>
      </c>
      <c r="H7" s="103" t="s">
        <v>122</v>
      </c>
    </row>
    <row r="8" spans="1:12" x14ac:dyDescent="0.35">
      <c r="B8" s="75"/>
      <c r="C8" s="71"/>
      <c r="D8" s="83"/>
      <c r="E8" s="84"/>
      <c r="F8" s="84"/>
      <c r="G8" s="104"/>
      <c r="H8" s="104"/>
    </row>
    <row r="9" spans="1:12" x14ac:dyDescent="0.35">
      <c r="B9" s="75"/>
      <c r="C9" s="71"/>
      <c r="D9" s="83"/>
      <c r="E9" s="84"/>
      <c r="F9" s="84"/>
      <c r="G9" s="104"/>
      <c r="H9" s="104"/>
    </row>
    <row r="10" spans="1:12" x14ac:dyDescent="0.35">
      <c r="B10" s="75"/>
      <c r="C10" s="71"/>
      <c r="D10" s="83"/>
      <c r="E10" s="84"/>
      <c r="F10" s="84"/>
      <c r="G10" s="104"/>
      <c r="H10" s="104"/>
    </row>
    <row r="11" spans="1:12" x14ac:dyDescent="0.35">
      <c r="B11" s="75">
        <v>1</v>
      </c>
      <c r="C11" s="71" t="s">
        <v>136</v>
      </c>
      <c r="D11" s="83" t="str">
        <f>C11&amp;"-"&amp;"BC"&amp;"."&amp;8</f>
        <v>DEBDA0319-T1-BC.8</v>
      </c>
      <c r="E11" s="84">
        <v>487.5</v>
      </c>
      <c r="F11" s="84">
        <v>488.75</v>
      </c>
      <c r="G11" s="104">
        <v>487.5</v>
      </c>
      <c r="H11" s="104">
        <v>488.75</v>
      </c>
    </row>
    <row r="13" spans="1:12" x14ac:dyDescent="0.35">
      <c r="A13" s="69" t="s">
        <v>256</v>
      </c>
    </row>
    <row r="14" spans="1:12" x14ac:dyDescent="0.35">
      <c r="B14" s="78"/>
      <c r="C14" s="77"/>
      <c r="D14" s="77"/>
      <c r="E14" s="249" t="s">
        <v>140</v>
      </c>
      <c r="F14" s="249"/>
      <c r="G14" s="250" t="s">
        <v>145</v>
      </c>
      <c r="H14" s="250"/>
    </row>
    <row r="15" spans="1:12" ht="26" x14ac:dyDescent="0.35">
      <c r="B15" s="10" t="s">
        <v>65</v>
      </c>
      <c r="C15" s="10" t="s">
        <v>104</v>
      </c>
      <c r="D15" s="10" t="s">
        <v>117</v>
      </c>
      <c r="E15" s="10" t="s">
        <v>118</v>
      </c>
      <c r="F15" s="10" t="s">
        <v>122</v>
      </c>
      <c r="G15" s="103" t="s">
        <v>118</v>
      </c>
      <c r="H15" s="103" t="s">
        <v>122</v>
      </c>
    </row>
    <row r="16" spans="1:12" x14ac:dyDescent="0.35">
      <c r="B16" s="75"/>
      <c r="C16" s="71"/>
      <c r="D16" s="83"/>
      <c r="E16" s="168"/>
      <c r="F16" s="167"/>
      <c r="G16" s="104"/>
      <c r="H16" s="104"/>
    </row>
    <row r="22" spans="1:12" x14ac:dyDescent="0.35">
      <c r="A22" s="251" t="s">
        <v>137</v>
      </c>
      <c r="B22" s="251"/>
      <c r="C22" s="251"/>
      <c r="D22" s="251"/>
      <c r="E22" s="251"/>
      <c r="F22" s="251"/>
      <c r="G22" s="251"/>
      <c r="H22" s="251"/>
      <c r="I22" s="251"/>
      <c r="J22" s="251"/>
      <c r="K22" s="251"/>
      <c r="L22" s="251"/>
    </row>
    <row r="24" spans="1:12" s="3" customFormat="1" x14ac:dyDescent="0.35">
      <c r="B24" s="7" t="s">
        <v>0</v>
      </c>
      <c r="C24" s="98" t="s">
        <v>270</v>
      </c>
      <c r="D24" s="4"/>
      <c r="E24" s="4"/>
      <c r="F24" s="4"/>
      <c r="G24" s="5"/>
      <c r="H24" s="4"/>
      <c r="I24" s="6"/>
    </row>
    <row r="25" spans="1:12" s="3" customFormat="1" ht="15" customHeight="1" x14ac:dyDescent="0.35">
      <c r="A25" s="2"/>
      <c r="B25" s="4"/>
      <c r="C25" s="4"/>
      <c r="D25" s="4"/>
      <c r="E25" s="4"/>
      <c r="F25" s="4"/>
      <c r="G25" s="5"/>
      <c r="H25" s="4"/>
      <c r="I25" s="6"/>
    </row>
    <row r="26" spans="1:12" s="3" customFormat="1" ht="59" customHeight="1" x14ac:dyDescent="0.35">
      <c r="A26" s="2"/>
      <c r="B26" s="8" t="s">
        <v>1</v>
      </c>
      <c r="C26" s="8" t="s">
        <v>2</v>
      </c>
      <c r="D26" s="8" t="s">
        <v>3</v>
      </c>
      <c r="E26" s="8" t="s">
        <v>4</v>
      </c>
      <c r="F26" s="8" t="s">
        <v>5</v>
      </c>
      <c r="G26" s="9" t="s">
        <v>6</v>
      </c>
      <c r="H26" s="4"/>
      <c r="I26" s="6"/>
    </row>
    <row r="27" spans="1:12" s="3" customFormat="1" ht="15" customHeight="1" x14ac:dyDescent="0.35">
      <c r="A27" s="2"/>
      <c r="B27" s="88">
        <v>46233</v>
      </c>
      <c r="C27" s="89" t="s">
        <v>139</v>
      </c>
      <c r="D27" s="89" t="s">
        <v>63</v>
      </c>
      <c r="E27" s="89" t="s">
        <v>64</v>
      </c>
      <c r="F27" s="39">
        <v>0.625</v>
      </c>
      <c r="G27" s="40">
        <v>0.95833333333333337</v>
      </c>
      <c r="H27" s="6"/>
      <c r="I27" s="6"/>
    </row>
    <row r="28" spans="1:12" s="3" customFormat="1" x14ac:dyDescent="0.35">
      <c r="A28" s="2"/>
      <c r="C28" s="4"/>
      <c r="D28" s="4"/>
      <c r="E28" s="4"/>
      <c r="F28" s="4"/>
      <c r="G28" s="5"/>
      <c r="H28" s="4"/>
      <c r="I28" s="6"/>
    </row>
    <row r="29" spans="1:12" s="3" customFormat="1" x14ac:dyDescent="0.35">
      <c r="A29" s="12">
        <v>1</v>
      </c>
      <c r="B29" s="2" t="s">
        <v>9</v>
      </c>
      <c r="C29" s="4"/>
      <c r="D29" s="4"/>
      <c r="E29" s="4"/>
      <c r="F29" s="4"/>
      <c r="G29" s="5"/>
      <c r="H29" s="4"/>
      <c r="I29" s="6"/>
    </row>
    <row r="30" spans="1:12" s="3" customFormat="1" x14ac:dyDescent="0.35">
      <c r="A30" s="2"/>
      <c r="C30" s="4"/>
    </row>
    <row r="31" spans="1:12" s="3" customFormat="1" ht="15" customHeight="1" x14ac:dyDescent="0.35">
      <c r="A31" s="2"/>
      <c r="D31" s="252" t="s">
        <v>7</v>
      </c>
      <c r="E31" s="253"/>
      <c r="F31" s="254"/>
      <c r="H31" s="255" t="s">
        <v>121</v>
      </c>
      <c r="I31" s="256"/>
      <c r="K31" s="1"/>
    </row>
    <row r="32" spans="1:12" s="3" customFormat="1" ht="14.5" customHeight="1" x14ac:dyDescent="0.35">
      <c r="A32" s="2"/>
      <c r="B32" s="8" t="s">
        <v>260</v>
      </c>
      <c r="C32" s="8" t="s">
        <v>261</v>
      </c>
      <c r="D32" s="10" t="s">
        <v>149</v>
      </c>
      <c r="E32" s="10" t="s">
        <v>150</v>
      </c>
      <c r="F32" s="8" t="s">
        <v>8</v>
      </c>
      <c r="H32" s="8" t="s">
        <v>11</v>
      </c>
      <c r="I32" s="8" t="s">
        <v>12</v>
      </c>
    </row>
    <row r="33" spans="1:12" s="3" customFormat="1" ht="29" x14ac:dyDescent="0.35">
      <c r="A33" s="90" t="s">
        <v>272</v>
      </c>
      <c r="B33" s="87" t="str">
        <f>D11</f>
        <v>DEBDA0319-T1-BC.8</v>
      </c>
      <c r="C33" s="111" t="s">
        <v>160</v>
      </c>
      <c r="D33" s="33">
        <f>G11</f>
        <v>487.5</v>
      </c>
      <c r="E33" s="33">
        <f>H11</f>
        <v>488.75</v>
      </c>
      <c r="F33" s="33"/>
      <c r="H33" s="33"/>
      <c r="I33" s="33"/>
    </row>
    <row r="34" spans="1:12" s="3" customFormat="1" x14ac:dyDescent="0.35">
      <c r="A34" s="90"/>
      <c r="B34" s="87"/>
      <c r="C34" s="111"/>
      <c r="D34" s="33"/>
      <c r="E34" s="33"/>
      <c r="F34" s="33"/>
      <c r="G34" s="1"/>
      <c r="H34" s="1"/>
      <c r="I34" s="1"/>
      <c r="J34" s="1"/>
      <c r="K34" s="1"/>
    </row>
    <row r="35" spans="1:12" s="3" customFormat="1" x14ac:dyDescent="0.35">
      <c r="A35" s="90"/>
      <c r="B35" s="87"/>
      <c r="C35" s="111"/>
      <c r="D35" s="33"/>
      <c r="E35" s="33"/>
      <c r="F35" s="33"/>
      <c r="G35" s="1"/>
      <c r="H35" s="1"/>
      <c r="I35" s="1"/>
      <c r="J35" s="1"/>
      <c r="K35" s="1"/>
    </row>
    <row r="36" spans="1:12" s="3" customFormat="1" x14ac:dyDescent="0.35">
      <c r="A36" s="90"/>
      <c r="B36" s="87"/>
      <c r="C36" s="111"/>
      <c r="D36" s="33"/>
      <c r="E36" s="33"/>
      <c r="F36" s="33"/>
      <c r="G36" s="1"/>
      <c r="H36" s="1"/>
      <c r="I36" s="1"/>
      <c r="J36" s="1"/>
      <c r="K36" s="1"/>
    </row>
    <row r="37" spans="1:12" s="3" customFormat="1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9" spans="1:12" s="3" customFormat="1" x14ac:dyDescent="0.35">
      <c r="A39" s="12">
        <v>2</v>
      </c>
      <c r="B39" s="2" t="s">
        <v>13</v>
      </c>
      <c r="C39" s="4"/>
      <c r="D39" s="4"/>
      <c r="E39" s="4"/>
      <c r="F39" s="12"/>
      <c r="G39" s="12"/>
      <c r="H39" s="12"/>
      <c r="I39" s="12"/>
      <c r="L39" s="4"/>
    </row>
    <row r="40" spans="1:12" s="3" customFormat="1" x14ac:dyDescent="0.35">
      <c r="A40" s="13"/>
      <c r="B40" s="105" t="s">
        <v>14</v>
      </c>
      <c r="C40" s="16" t="s">
        <v>155</v>
      </c>
      <c r="E40" s="4"/>
      <c r="F40" s="17"/>
      <c r="G40" s="17"/>
      <c r="H40" s="17"/>
      <c r="I40" s="17"/>
      <c r="J40" s="17"/>
      <c r="K40" s="17"/>
      <c r="L40" s="17"/>
    </row>
    <row r="41" spans="1:12" s="3" customFormat="1" x14ac:dyDescent="0.35">
      <c r="A41" s="13"/>
      <c r="B41" s="105" t="s">
        <v>16</v>
      </c>
      <c r="C41" s="112"/>
      <c r="D41" s="118" t="s">
        <v>225</v>
      </c>
      <c r="E41" s="18" t="s">
        <v>226</v>
      </c>
      <c r="F41" s="17"/>
      <c r="G41" s="17"/>
      <c r="H41" s="17"/>
      <c r="I41" s="17"/>
      <c r="J41" s="17"/>
      <c r="K41" s="17"/>
      <c r="L41" s="17"/>
    </row>
    <row r="42" spans="1:12" s="3" customFormat="1" x14ac:dyDescent="0.35">
      <c r="A42" s="13"/>
      <c r="B42" s="18"/>
      <c r="C42" s="18"/>
      <c r="D42" s="18"/>
      <c r="E42" s="18"/>
      <c r="F42" s="17"/>
      <c r="G42" s="17"/>
      <c r="H42" s="17"/>
      <c r="I42" s="17"/>
      <c r="J42" s="17"/>
      <c r="K42" s="17"/>
      <c r="L42" s="17"/>
    </row>
    <row r="43" spans="1:12" s="3" customFormat="1" x14ac:dyDescent="0.35">
      <c r="A43" s="13"/>
      <c r="B43" s="20" t="s">
        <v>22</v>
      </c>
      <c r="F43" s="4"/>
      <c r="G43" s="17"/>
      <c r="H43" s="17"/>
      <c r="I43" s="17"/>
      <c r="J43" s="17"/>
      <c r="K43" s="17"/>
      <c r="L43" s="17"/>
    </row>
    <row r="44" spans="1:12" s="3" customFormat="1" x14ac:dyDescent="0.35">
      <c r="B44" s="2" t="s">
        <v>29</v>
      </c>
      <c r="C44" s="8" t="s">
        <v>24</v>
      </c>
      <c r="D44" s="8" t="s">
        <v>25</v>
      </c>
      <c r="E44" s="8" t="s">
        <v>26</v>
      </c>
      <c r="F44" s="8" t="s">
        <v>27</v>
      </c>
      <c r="G44" s="8" t="s">
        <v>28</v>
      </c>
      <c r="H44" s="17"/>
      <c r="I44" s="17"/>
      <c r="J44" s="17"/>
      <c r="K44" s="17"/>
      <c r="L44" s="17"/>
    </row>
    <row r="45" spans="1:12" s="3" customFormat="1" x14ac:dyDescent="0.35">
      <c r="B45" s="4"/>
      <c r="C45" s="14"/>
      <c r="D45" s="22">
        <f>C45*E45</f>
        <v>0</v>
      </c>
      <c r="E45" s="14"/>
      <c r="F45" s="21">
        <v>4.71</v>
      </c>
      <c r="G45" s="106">
        <f>(E45-F45)/F45</f>
        <v>-1</v>
      </c>
      <c r="H45" s="17"/>
      <c r="I45" s="17"/>
      <c r="J45" s="17"/>
      <c r="K45" s="17"/>
      <c r="L45" s="17"/>
    </row>
    <row r="46" spans="1:12" s="3" customFormat="1" x14ac:dyDescent="0.35">
      <c r="A46" s="4"/>
      <c r="H46" s="4"/>
      <c r="I46" s="5"/>
      <c r="J46" s="4"/>
      <c r="K46" s="4"/>
      <c r="L46" s="4"/>
    </row>
    <row r="47" spans="1:12" s="3" customFormat="1" x14ac:dyDescent="0.35">
      <c r="A47" s="13"/>
      <c r="B47" s="105" t="s">
        <v>227</v>
      </c>
      <c r="C47" s="112"/>
      <c r="D47" s="118" t="s">
        <v>225</v>
      </c>
      <c r="E47" s="18" t="s">
        <v>228</v>
      </c>
      <c r="F47" s="17"/>
      <c r="G47" s="17"/>
      <c r="H47" s="17"/>
      <c r="I47" s="17"/>
      <c r="J47" s="17"/>
      <c r="K47" s="17"/>
      <c r="L47" s="17"/>
    </row>
    <row r="48" spans="1:12" s="3" customFormat="1" x14ac:dyDescent="0.35">
      <c r="A48" s="13"/>
      <c r="B48" s="18"/>
      <c r="C48" s="18"/>
      <c r="D48" s="18"/>
      <c r="E48" s="18"/>
      <c r="F48" s="17"/>
      <c r="G48" s="17"/>
      <c r="H48" s="17"/>
      <c r="I48" s="17"/>
      <c r="J48" s="17"/>
      <c r="K48" s="17"/>
      <c r="L48" s="17"/>
    </row>
    <row r="49" spans="1:12" s="3" customFormat="1" x14ac:dyDescent="0.35">
      <c r="A49" s="13"/>
      <c r="B49" s="20" t="s">
        <v>22</v>
      </c>
      <c r="F49" s="4"/>
      <c r="G49" s="17"/>
      <c r="H49" s="17"/>
      <c r="I49" s="17"/>
      <c r="J49" s="17"/>
      <c r="K49" s="17"/>
      <c r="L49" s="17"/>
    </row>
    <row r="50" spans="1:12" s="3" customFormat="1" x14ac:dyDescent="0.35">
      <c r="B50" s="2" t="s">
        <v>29</v>
      </c>
      <c r="C50" s="8" t="s">
        <v>24</v>
      </c>
      <c r="D50" s="8" t="s">
        <v>25</v>
      </c>
      <c r="E50" s="8" t="s">
        <v>26</v>
      </c>
      <c r="F50" s="8" t="s">
        <v>27</v>
      </c>
      <c r="G50" s="8" t="s">
        <v>28</v>
      </c>
      <c r="H50" s="17"/>
      <c r="I50" s="17"/>
      <c r="J50" s="17"/>
      <c r="K50" s="17"/>
      <c r="L50" s="17"/>
    </row>
    <row r="51" spans="1:12" s="3" customFormat="1" x14ac:dyDescent="0.35">
      <c r="B51" s="4"/>
      <c r="C51" s="14"/>
      <c r="D51" s="22">
        <f>C51*E51</f>
        <v>0</v>
      </c>
      <c r="E51" s="14">
        <v>4.74</v>
      </c>
      <c r="F51" s="21">
        <v>4.71</v>
      </c>
      <c r="G51" s="106">
        <f>(E51-F51)/F51</f>
        <v>6.3694267515924099E-3</v>
      </c>
      <c r="H51" s="17"/>
      <c r="I51" s="17"/>
      <c r="J51" s="17"/>
      <c r="K51" s="17"/>
      <c r="L51" s="17"/>
    </row>
    <row r="52" spans="1:12" s="3" customFormat="1" x14ac:dyDescent="0.35">
      <c r="A52" s="4"/>
      <c r="H52" s="4"/>
      <c r="I52" s="5"/>
      <c r="J52" s="4"/>
      <c r="K52" s="4"/>
      <c r="L52" s="4"/>
    </row>
    <row r="53" spans="1:12" s="3" customFormat="1" x14ac:dyDescent="0.35">
      <c r="A53" s="13"/>
      <c r="B53" s="105" t="s">
        <v>229</v>
      </c>
      <c r="C53" s="112"/>
      <c r="D53" s="118" t="s">
        <v>225</v>
      </c>
      <c r="E53" s="18"/>
      <c r="F53" s="17"/>
      <c r="G53" s="17"/>
      <c r="H53" s="17"/>
      <c r="I53" s="17"/>
      <c r="J53" s="17"/>
      <c r="K53" s="17"/>
      <c r="L53" s="17"/>
    </row>
    <row r="54" spans="1:12" s="3" customFormat="1" x14ac:dyDescent="0.35">
      <c r="A54" s="13"/>
      <c r="B54" s="18"/>
      <c r="C54" s="18"/>
      <c r="D54" s="18"/>
      <c r="E54" s="18"/>
      <c r="F54" s="17"/>
      <c r="G54" s="17"/>
      <c r="H54" s="17"/>
      <c r="I54" s="17"/>
      <c r="J54" s="17"/>
      <c r="K54" s="17"/>
      <c r="L54" s="17"/>
    </row>
    <row r="55" spans="1:12" s="3" customFormat="1" x14ac:dyDescent="0.35">
      <c r="A55" s="13"/>
      <c r="B55" s="20" t="s">
        <v>22</v>
      </c>
      <c r="F55" s="4"/>
      <c r="G55" s="17"/>
      <c r="H55" s="17"/>
      <c r="I55" s="17"/>
      <c r="J55" s="17"/>
      <c r="K55" s="17"/>
      <c r="L55" s="17"/>
    </row>
    <row r="56" spans="1:12" s="3" customFormat="1" x14ac:dyDescent="0.35">
      <c r="B56" s="2" t="s">
        <v>29</v>
      </c>
      <c r="C56" s="8" t="s">
        <v>24</v>
      </c>
      <c r="D56" s="8" t="s">
        <v>25</v>
      </c>
      <c r="E56" s="8" t="s">
        <v>26</v>
      </c>
      <c r="F56" s="8" t="s">
        <v>27</v>
      </c>
      <c r="G56" s="8" t="s">
        <v>28</v>
      </c>
      <c r="H56" s="17"/>
      <c r="I56" s="17"/>
      <c r="J56" s="17"/>
      <c r="K56" s="17"/>
      <c r="L56" s="17"/>
    </row>
    <row r="57" spans="1:12" s="3" customFormat="1" x14ac:dyDescent="0.35">
      <c r="B57" s="4"/>
      <c r="C57" s="14"/>
      <c r="D57" s="22">
        <f>C57*E57</f>
        <v>0</v>
      </c>
      <c r="E57" s="14"/>
      <c r="F57" s="21">
        <v>4.71</v>
      </c>
      <c r="G57" s="106">
        <f>(E57-F57)/F57</f>
        <v>-1</v>
      </c>
      <c r="H57" s="17"/>
      <c r="I57" s="17"/>
      <c r="J57" s="17"/>
      <c r="K57" s="17"/>
      <c r="L57" s="17"/>
    </row>
    <row r="58" spans="1:12" s="3" customFormat="1" x14ac:dyDescent="0.35">
      <c r="A58" s="4"/>
      <c r="H58" s="4"/>
      <c r="I58" s="5"/>
      <c r="J58" s="4"/>
      <c r="K58" s="4"/>
      <c r="L58" s="4"/>
    </row>
    <row r="59" spans="1:12" s="3" customFormat="1" x14ac:dyDescent="0.35">
      <c r="A59" s="13"/>
      <c r="B59" s="105" t="s">
        <v>231</v>
      </c>
      <c r="C59" s="112"/>
      <c r="D59" s="118" t="s">
        <v>225</v>
      </c>
      <c r="E59" s="18"/>
      <c r="F59" s="17"/>
      <c r="G59" s="17"/>
      <c r="H59" s="17"/>
      <c r="I59" s="17"/>
      <c r="J59" s="17"/>
      <c r="K59" s="17"/>
      <c r="L59" s="17"/>
    </row>
    <row r="60" spans="1:12" s="3" customFormat="1" x14ac:dyDescent="0.35">
      <c r="A60" s="13"/>
      <c r="B60" s="18"/>
      <c r="C60" s="18"/>
      <c r="D60" s="18"/>
      <c r="E60" s="18"/>
      <c r="F60" s="17"/>
      <c r="G60" s="17"/>
      <c r="H60" s="17"/>
      <c r="I60" s="17"/>
      <c r="J60" s="17"/>
      <c r="K60" s="17"/>
      <c r="L60" s="17"/>
    </row>
    <row r="61" spans="1:12" s="3" customFormat="1" x14ac:dyDescent="0.35">
      <c r="A61" s="13"/>
      <c r="B61" s="20" t="s">
        <v>22</v>
      </c>
      <c r="F61" s="4"/>
      <c r="G61" s="17"/>
      <c r="H61" s="17"/>
      <c r="I61" s="17"/>
      <c r="J61" s="17"/>
      <c r="K61" s="17"/>
      <c r="L61" s="17"/>
    </row>
    <row r="62" spans="1:12" s="3" customFormat="1" x14ac:dyDescent="0.35">
      <c r="B62" s="2" t="s">
        <v>29</v>
      </c>
      <c r="C62" s="8" t="s">
        <v>24</v>
      </c>
      <c r="D62" s="8" t="s">
        <v>25</v>
      </c>
      <c r="E62" s="8" t="s">
        <v>26</v>
      </c>
      <c r="F62" s="8" t="s">
        <v>27</v>
      </c>
      <c r="G62" s="8" t="s">
        <v>28</v>
      </c>
      <c r="H62" s="17"/>
      <c r="I62" s="17"/>
      <c r="J62" s="17"/>
      <c r="K62" s="17"/>
      <c r="L62" s="17"/>
    </row>
    <row r="63" spans="1:12" s="3" customFormat="1" x14ac:dyDescent="0.35">
      <c r="B63" s="4"/>
      <c r="C63" s="14"/>
      <c r="D63" s="22">
        <f>C63*E63</f>
        <v>0</v>
      </c>
      <c r="E63" s="14"/>
      <c r="F63" s="21">
        <v>4.71</v>
      </c>
      <c r="G63" s="106">
        <f>(E63-F63)/F63</f>
        <v>-1</v>
      </c>
      <c r="H63" s="17"/>
      <c r="I63" s="17"/>
      <c r="J63" s="17"/>
      <c r="K63" s="17"/>
      <c r="L63" s="17"/>
    </row>
    <row r="64" spans="1:12" s="3" customFormat="1" x14ac:dyDescent="0.35">
      <c r="A64" s="4"/>
      <c r="H64" s="4"/>
      <c r="I64" s="5"/>
      <c r="J64" s="4"/>
      <c r="K64" s="4"/>
      <c r="L64" s="4"/>
    </row>
    <row r="65" spans="1:12" s="3" customFormat="1" x14ac:dyDescent="0.35">
      <c r="A65" s="4"/>
      <c r="H65" s="4"/>
      <c r="I65" s="5"/>
      <c r="J65" s="4"/>
      <c r="K65" s="4"/>
      <c r="L65" s="4"/>
    </row>
    <row r="66" spans="1:12" s="115" customFormat="1" x14ac:dyDescent="0.35">
      <c r="B66" s="129" t="s">
        <v>17</v>
      </c>
      <c r="C66" s="1"/>
      <c r="D66" s="1"/>
      <c r="E66" s="1"/>
      <c r="F66" s="1"/>
      <c r="G66" s="116"/>
      <c r="H66" s="116"/>
      <c r="I66" s="116"/>
      <c r="J66" s="116"/>
      <c r="K66" s="116"/>
      <c r="L66" s="116"/>
    </row>
    <row r="67" spans="1:12" s="115" customFormat="1" x14ac:dyDescent="0.35">
      <c r="B67" s="129" t="s">
        <v>18</v>
      </c>
      <c r="C67" s="117" t="s">
        <v>19</v>
      </c>
      <c r="D67" s="118" t="s">
        <v>15</v>
      </c>
      <c r="E67" s="119" t="s">
        <v>20</v>
      </c>
      <c r="F67" s="1"/>
      <c r="G67" s="116"/>
      <c r="H67" s="116"/>
      <c r="I67" s="116"/>
      <c r="J67" s="116"/>
      <c r="K67" s="116"/>
      <c r="L67" s="116"/>
    </row>
    <row r="68" spans="1:12" s="115" customFormat="1" x14ac:dyDescent="0.35">
      <c r="B68" s="105" t="s">
        <v>16</v>
      </c>
      <c r="C68" s="112" t="s">
        <v>166</v>
      </c>
      <c r="D68" s="1"/>
      <c r="E68" s="1"/>
      <c r="F68" s="1"/>
      <c r="G68" s="116"/>
      <c r="H68" s="116"/>
      <c r="I68" s="116"/>
      <c r="J68" s="116"/>
      <c r="K68" s="116"/>
      <c r="L68" s="116"/>
    </row>
    <row r="69" spans="1:12" s="115" customFormat="1" x14ac:dyDescent="0.35">
      <c r="C69" s="1"/>
      <c r="D69" s="1"/>
      <c r="E69" s="1"/>
      <c r="F69" s="1"/>
      <c r="G69" s="116"/>
      <c r="H69" s="116"/>
      <c r="I69" s="116"/>
      <c r="J69" s="116"/>
      <c r="K69" s="116"/>
      <c r="L69" s="116"/>
    </row>
    <row r="70" spans="1:12" s="115" customFormat="1" x14ac:dyDescent="0.35">
      <c r="A70" s="1"/>
      <c r="B70" s="1"/>
      <c r="C70" s="120" t="s">
        <v>21</v>
      </c>
      <c r="D70" s="120" t="s">
        <v>22</v>
      </c>
      <c r="E70" s="1"/>
      <c r="F70" s="1"/>
      <c r="G70" s="121"/>
      <c r="H70" s="1"/>
      <c r="I70" s="121"/>
      <c r="J70" s="1"/>
      <c r="K70" s="1"/>
      <c r="L70" s="1"/>
    </row>
    <row r="71" spans="1:12" s="115" customFormat="1" x14ac:dyDescent="0.35">
      <c r="A71" s="1"/>
      <c r="B71" s="1"/>
      <c r="C71" s="1"/>
      <c r="D71" s="1"/>
      <c r="E71" s="1"/>
      <c r="F71" s="1"/>
      <c r="G71" s="121"/>
      <c r="H71" s="1"/>
      <c r="I71" s="121"/>
      <c r="J71" s="1"/>
      <c r="K71" s="1"/>
      <c r="L71" s="1"/>
    </row>
    <row r="72" spans="1:12" s="115" customFormat="1" x14ac:dyDescent="0.35">
      <c r="A72" s="1"/>
      <c r="B72" s="122" t="s">
        <v>23</v>
      </c>
      <c r="C72" s="123" t="s">
        <v>24</v>
      </c>
      <c r="D72" s="123" t="s">
        <v>25</v>
      </c>
      <c r="E72" s="123" t="s">
        <v>26</v>
      </c>
      <c r="F72" s="123" t="s">
        <v>27</v>
      </c>
      <c r="G72" s="123" t="s">
        <v>28</v>
      </c>
      <c r="H72" s="124" t="s">
        <v>165</v>
      </c>
      <c r="I72" s="121"/>
      <c r="J72" s="1"/>
      <c r="K72" s="1"/>
      <c r="L72" s="1"/>
    </row>
    <row r="73" spans="1:12" s="115" customFormat="1" x14ac:dyDescent="0.35">
      <c r="A73" s="1"/>
      <c r="B73" s="1"/>
      <c r="C73" s="94"/>
      <c r="D73" s="94"/>
      <c r="E73" s="125"/>
      <c r="F73" s="126"/>
      <c r="G73" s="127"/>
      <c r="H73" s="1"/>
      <c r="I73" s="121"/>
      <c r="J73" s="1"/>
      <c r="K73" s="1"/>
      <c r="L73" s="1"/>
    </row>
    <row r="74" spans="1:12" s="115" customFormat="1" x14ac:dyDescent="0.35">
      <c r="A74" s="1"/>
      <c r="B74" s="1"/>
      <c r="C74" s="1"/>
      <c r="D74" s="1"/>
      <c r="E74" s="1"/>
      <c r="F74" s="1"/>
      <c r="G74" s="121"/>
      <c r="H74" s="1"/>
      <c r="I74" s="121"/>
      <c r="J74" s="1"/>
      <c r="K74" s="1"/>
      <c r="L74" s="1"/>
    </row>
    <row r="75" spans="1:12" s="115" customFormat="1" x14ac:dyDescent="0.35">
      <c r="A75" s="1"/>
      <c r="B75" s="122" t="s">
        <v>29</v>
      </c>
      <c r="C75" s="123" t="s">
        <v>24</v>
      </c>
      <c r="D75" s="123" t="s">
        <v>25</v>
      </c>
      <c r="E75" s="123" t="s">
        <v>26</v>
      </c>
      <c r="F75" s="123" t="s">
        <v>27</v>
      </c>
      <c r="G75" s="123" t="s">
        <v>28</v>
      </c>
      <c r="H75" s="1"/>
      <c r="I75" s="121"/>
      <c r="J75" s="1"/>
      <c r="K75" s="1"/>
      <c r="L75" s="1"/>
    </row>
    <row r="76" spans="1:12" s="115" customFormat="1" x14ac:dyDescent="0.35">
      <c r="A76" s="1"/>
      <c r="B76" s="1"/>
      <c r="C76" s="94"/>
      <c r="D76" s="128"/>
      <c r="E76" s="94"/>
      <c r="F76" s="126"/>
      <c r="G76" s="127"/>
      <c r="H76" s="1"/>
      <c r="I76" s="121"/>
      <c r="J76" s="1"/>
      <c r="K76" s="1"/>
      <c r="L76" s="1"/>
    </row>
    <row r="77" spans="1:12" s="3" customFormat="1" x14ac:dyDescent="0.35">
      <c r="A77" s="4"/>
      <c r="H77" s="4"/>
      <c r="I77" s="5"/>
      <c r="J77" s="4"/>
      <c r="K77" s="4"/>
      <c r="L77" s="4"/>
    </row>
    <row r="78" spans="1:12" s="3" customFormat="1" x14ac:dyDescent="0.35">
      <c r="A78" s="4"/>
      <c r="H78" s="4"/>
      <c r="I78" s="5"/>
      <c r="J78" s="4"/>
      <c r="K78" s="4"/>
      <c r="L78" s="4"/>
    </row>
    <row r="79" spans="1:12" s="3" customFormat="1" x14ac:dyDescent="0.35">
      <c r="A79" s="12">
        <v>3</v>
      </c>
      <c r="B79" s="2" t="s">
        <v>30</v>
      </c>
      <c r="C79" s="4"/>
      <c r="D79" s="4"/>
      <c r="E79" s="4"/>
      <c r="F79" s="4"/>
      <c r="G79" s="5"/>
      <c r="H79" s="4"/>
      <c r="I79" s="5"/>
      <c r="J79" s="4"/>
      <c r="K79" s="4"/>
      <c r="L79" s="4"/>
    </row>
    <row r="80" spans="1:12" s="3" customFormat="1" x14ac:dyDescent="0.35">
      <c r="A80" s="12"/>
      <c r="B80" s="2" t="s">
        <v>31</v>
      </c>
      <c r="C80" s="4"/>
      <c r="D80" s="4"/>
      <c r="E80" s="4"/>
      <c r="F80" s="4"/>
      <c r="G80" s="5"/>
      <c r="H80" s="4"/>
      <c r="I80" s="5"/>
      <c r="J80" s="4"/>
      <c r="K80" s="4"/>
      <c r="L80" s="4"/>
    </row>
    <row r="81" spans="1:12" s="3" customFormat="1" x14ac:dyDescent="0.35">
      <c r="A81" s="12"/>
      <c r="B81" s="23" t="s">
        <v>32</v>
      </c>
      <c r="C81" s="16"/>
      <c r="D81" s="4"/>
      <c r="E81" s="4"/>
      <c r="F81" s="4"/>
      <c r="G81" s="5"/>
      <c r="H81" s="4"/>
      <c r="I81" s="5"/>
      <c r="J81" s="4"/>
      <c r="K81" s="4"/>
      <c r="L81" s="4"/>
    </row>
    <row r="82" spans="1:12" s="3" customFormat="1" x14ac:dyDescent="0.35">
      <c r="A82" s="13"/>
      <c r="B82" s="8" t="s">
        <v>33</v>
      </c>
      <c r="C82" s="8" t="s">
        <v>34</v>
      </c>
      <c r="D82" s="8" t="s">
        <v>35</v>
      </c>
      <c r="E82" s="8" t="s">
        <v>36</v>
      </c>
      <c r="F82" s="8" t="s">
        <v>26</v>
      </c>
      <c r="G82" s="8" t="s">
        <v>37</v>
      </c>
      <c r="H82" s="8" t="s">
        <v>38</v>
      </c>
      <c r="I82" s="5"/>
      <c r="J82" s="4"/>
      <c r="K82" s="4"/>
      <c r="L82" s="4"/>
    </row>
    <row r="83" spans="1:12" s="3" customFormat="1" x14ac:dyDescent="0.35">
      <c r="A83" s="13"/>
      <c r="B83" s="12">
        <v>1</v>
      </c>
      <c r="C83" s="15"/>
      <c r="D83" s="15"/>
      <c r="E83" s="15"/>
      <c r="F83" s="24"/>
      <c r="G83" s="114" t="str">
        <f>$C$81&amp;"-"&amp;"KW 2"&amp;"- 01"</f>
        <v>-KW 2- 01</v>
      </c>
      <c r="H83" s="14"/>
      <c r="I83" s="5"/>
      <c r="J83" s="4"/>
      <c r="K83" s="4"/>
      <c r="L83" s="4"/>
    </row>
    <row r="84" spans="1:12" s="3" customFormat="1" x14ac:dyDescent="0.35">
      <c r="A84" s="13"/>
      <c r="B84" s="12">
        <v>2</v>
      </c>
      <c r="C84" s="14"/>
      <c r="D84" s="14"/>
      <c r="E84" s="14"/>
      <c r="F84" s="24"/>
      <c r="G84" s="114" t="str">
        <f>$C$81&amp;"-"&amp;"KW 2"&amp;"- 02"</f>
        <v>-KW 2- 02</v>
      </c>
      <c r="H84" s="14"/>
      <c r="I84" s="5"/>
      <c r="J84" s="4"/>
      <c r="K84" s="4"/>
      <c r="L84" s="4"/>
    </row>
    <row r="85" spans="1:12" s="3" customFormat="1" x14ac:dyDescent="0.35">
      <c r="A85" s="13"/>
      <c r="B85" s="12">
        <v>3</v>
      </c>
      <c r="C85" s="14"/>
      <c r="D85" s="14"/>
      <c r="E85" s="14"/>
      <c r="F85" s="24"/>
      <c r="G85" s="114" t="str">
        <f>$C$81&amp;"-"&amp;"KW 2"&amp;"- 03"</f>
        <v>-KW 2- 03</v>
      </c>
      <c r="H85" s="14"/>
      <c r="I85" s="5"/>
      <c r="J85" s="4"/>
      <c r="K85" s="4"/>
      <c r="L85" s="4"/>
    </row>
    <row r="86" spans="1:12" s="3" customFormat="1" x14ac:dyDescent="0.35">
      <c r="A86" s="13"/>
      <c r="B86" s="4"/>
      <c r="C86" s="4"/>
      <c r="D86" s="4"/>
      <c r="E86" s="4"/>
      <c r="F86" s="4"/>
      <c r="G86" s="5"/>
      <c r="H86" s="4"/>
      <c r="I86" s="5"/>
      <c r="J86" s="4"/>
      <c r="K86" s="4"/>
      <c r="L86" s="4"/>
    </row>
    <row r="87" spans="1:12" s="3" customFormat="1" x14ac:dyDescent="0.35">
      <c r="A87" s="12"/>
      <c r="B87" s="2" t="s">
        <v>39</v>
      </c>
      <c r="C87" s="4"/>
      <c r="D87" s="4"/>
      <c r="E87" s="4"/>
      <c r="F87" s="4"/>
      <c r="G87" s="5"/>
      <c r="H87" s="4"/>
      <c r="I87" s="5"/>
      <c r="J87" s="4"/>
      <c r="K87" s="4"/>
      <c r="L87" s="4"/>
    </row>
    <row r="88" spans="1:12" s="3" customFormat="1" x14ac:dyDescent="0.35">
      <c r="A88" s="12"/>
      <c r="B88" s="23" t="s">
        <v>32</v>
      </c>
      <c r="C88" s="16" t="s">
        <v>155</v>
      </c>
      <c r="D88" s="4"/>
      <c r="E88" s="4"/>
      <c r="F88" s="4"/>
      <c r="G88" s="5"/>
      <c r="H88" s="4"/>
      <c r="I88" s="5"/>
      <c r="J88" s="4"/>
      <c r="K88" s="4"/>
      <c r="L88" s="4"/>
    </row>
    <row r="89" spans="1:12" s="3" customFormat="1" x14ac:dyDescent="0.35">
      <c r="A89" s="13"/>
      <c r="B89" s="8" t="s">
        <v>33</v>
      </c>
      <c r="C89" s="8" t="s">
        <v>34</v>
      </c>
      <c r="D89" s="8" t="s">
        <v>35</v>
      </c>
      <c r="E89" s="8" t="s">
        <v>36</v>
      </c>
      <c r="F89" s="8" t="s">
        <v>26</v>
      </c>
      <c r="G89" s="8" t="s">
        <v>37</v>
      </c>
      <c r="H89" s="8" t="s">
        <v>38</v>
      </c>
      <c r="I89" s="26" t="s">
        <v>40</v>
      </c>
      <c r="J89" s="4"/>
      <c r="K89" s="4"/>
      <c r="L89" s="4"/>
    </row>
    <row r="90" spans="1:12" s="3" customFormat="1" x14ac:dyDescent="0.35">
      <c r="A90" s="13"/>
      <c r="B90" s="12">
        <v>1</v>
      </c>
      <c r="C90" s="14">
        <v>6</v>
      </c>
      <c r="D90" s="14">
        <v>100</v>
      </c>
      <c r="E90" s="14">
        <v>472</v>
      </c>
      <c r="F90" s="24">
        <f>E90/D90</f>
        <v>4.72</v>
      </c>
      <c r="G90" s="114" t="str">
        <f>$C$88&amp;"-"&amp;"KW 2"&amp;"- 01"</f>
        <v>Canal C75.75 PRE B-KW 2- 01</v>
      </c>
      <c r="H90" s="14"/>
      <c r="I90" s="5"/>
      <c r="J90" s="4"/>
      <c r="K90" s="4"/>
      <c r="L90" s="4"/>
    </row>
    <row r="91" spans="1:12" s="3" customFormat="1" x14ac:dyDescent="0.35">
      <c r="A91" s="13"/>
      <c r="B91" s="12">
        <v>2</v>
      </c>
      <c r="C91" s="14"/>
      <c r="D91" s="14"/>
      <c r="E91" s="14"/>
      <c r="F91" s="24"/>
      <c r="G91" s="25"/>
      <c r="H91" s="14"/>
      <c r="I91" s="5"/>
      <c r="J91" s="4"/>
      <c r="K91" s="4"/>
      <c r="L91" s="4"/>
    </row>
    <row r="92" spans="1:12" s="3" customFormat="1" x14ac:dyDescent="0.35">
      <c r="A92" s="13"/>
      <c r="B92" s="4"/>
      <c r="C92" s="4"/>
      <c r="D92" s="4"/>
      <c r="E92" s="4"/>
      <c r="F92" s="4"/>
      <c r="G92" s="5"/>
      <c r="H92" s="4"/>
      <c r="I92" s="5"/>
      <c r="J92" s="4"/>
      <c r="K92" s="4"/>
      <c r="L92" s="4"/>
    </row>
    <row r="93" spans="1:12" s="3" customFormat="1" x14ac:dyDescent="0.35">
      <c r="A93" s="12">
        <v>4</v>
      </c>
      <c r="B93" s="2" t="s">
        <v>41</v>
      </c>
      <c r="C93" s="4"/>
      <c r="D93" s="4"/>
      <c r="E93" s="4"/>
      <c r="F93" s="4"/>
      <c r="G93" s="5"/>
      <c r="H93" s="4"/>
      <c r="I93" s="5"/>
      <c r="J93" s="4"/>
      <c r="K93" s="4"/>
      <c r="L93" s="4"/>
    </row>
    <row r="94" spans="1:12" s="3" customFormat="1" x14ac:dyDescent="0.35">
      <c r="A94" s="12"/>
      <c r="B94" s="7" t="s">
        <v>233</v>
      </c>
      <c r="C94" s="98">
        <f>D14</f>
        <v>0</v>
      </c>
      <c r="D94" s="4"/>
      <c r="E94" s="4"/>
      <c r="F94" s="4"/>
      <c r="G94" s="5"/>
      <c r="H94" s="4"/>
      <c r="I94" s="5"/>
      <c r="J94" s="4"/>
      <c r="K94" s="4"/>
      <c r="L94" s="4"/>
    </row>
    <row r="95" spans="1:12" s="3" customFormat="1" x14ac:dyDescent="0.35">
      <c r="A95" s="13"/>
      <c r="B95" s="7" t="s">
        <v>235</v>
      </c>
      <c r="C95" s="91"/>
      <c r="D95" s="27" t="s">
        <v>234</v>
      </c>
      <c r="E95" s="166"/>
      <c r="F95" s="4"/>
      <c r="G95" s="4"/>
      <c r="H95" s="166"/>
      <c r="I95" s="5"/>
      <c r="J95" s="4"/>
      <c r="K95" s="4"/>
      <c r="L95" s="4"/>
    </row>
    <row r="96" spans="1:12" s="3" customFormat="1" x14ac:dyDescent="0.35">
      <c r="A96" s="13"/>
      <c r="B96" s="7"/>
      <c r="C96" s="7"/>
      <c r="D96" s="27"/>
      <c r="E96" s="4"/>
      <c r="F96" s="4"/>
      <c r="G96" s="4"/>
      <c r="H96" s="4"/>
      <c r="I96" s="5"/>
      <c r="J96" s="4"/>
      <c r="K96" s="4"/>
      <c r="L96" s="4"/>
    </row>
    <row r="97" spans="1:12" s="3" customFormat="1" x14ac:dyDescent="0.35">
      <c r="A97" s="13"/>
      <c r="B97" s="4"/>
      <c r="C97" s="4"/>
      <c r="D97" s="4"/>
      <c r="E97" s="4"/>
      <c r="F97" s="4"/>
      <c r="G97" s="5"/>
      <c r="H97" s="4"/>
      <c r="I97" s="5"/>
      <c r="J97" s="4"/>
      <c r="K97" s="4"/>
      <c r="L97" s="4"/>
    </row>
    <row r="98" spans="1:12" s="3" customFormat="1" x14ac:dyDescent="0.35">
      <c r="A98" s="12">
        <v>5</v>
      </c>
      <c r="B98" s="2" t="s">
        <v>42</v>
      </c>
      <c r="C98" s="4"/>
      <c r="D98" s="4"/>
      <c r="E98" s="4"/>
      <c r="F98" s="4"/>
      <c r="G98" s="5"/>
      <c r="H98" s="4"/>
      <c r="I98" s="5"/>
      <c r="J98" s="4"/>
      <c r="K98" s="4"/>
      <c r="L98" s="4"/>
    </row>
    <row r="99" spans="1:12" s="3" customFormat="1" x14ac:dyDescent="0.35">
      <c r="A99" s="13"/>
      <c r="B99" s="7" t="s">
        <v>236</v>
      </c>
      <c r="C99" s="98" t="s">
        <v>237</v>
      </c>
      <c r="D99" s="4"/>
      <c r="E99" s="4"/>
      <c r="F99" s="4"/>
      <c r="G99" s="5"/>
      <c r="H99" s="4"/>
      <c r="I99" s="5"/>
      <c r="J99" s="4"/>
      <c r="K99" s="4"/>
      <c r="L99" s="4"/>
    </row>
    <row r="100" spans="1:12" s="3" customFormat="1" x14ac:dyDescent="0.35">
      <c r="A100" s="13"/>
      <c r="B100" s="7" t="s">
        <v>238</v>
      </c>
      <c r="C100" s="91"/>
      <c r="D100" s="27" t="s">
        <v>239</v>
      </c>
      <c r="E100" s="4"/>
      <c r="F100" s="4"/>
      <c r="G100" s="5"/>
      <c r="H100" s="4"/>
      <c r="I100" s="5"/>
      <c r="J100" s="4"/>
      <c r="K100" s="4"/>
      <c r="L100" s="4"/>
    </row>
    <row r="101" spans="1:12" s="3" customFormat="1" x14ac:dyDescent="0.35">
      <c r="A101" s="13"/>
      <c r="B101" s="4"/>
      <c r="C101" s="4"/>
      <c r="D101" s="80"/>
      <c r="E101" s="4"/>
      <c r="F101" s="4"/>
      <c r="G101" s="5"/>
      <c r="H101" s="4"/>
      <c r="I101" s="5"/>
      <c r="J101" s="4"/>
      <c r="K101" s="4"/>
      <c r="L101" s="4"/>
    </row>
    <row r="102" spans="1:12" s="3" customFormat="1" x14ac:dyDescent="0.35">
      <c r="A102" s="13"/>
      <c r="B102" s="4"/>
      <c r="C102" s="4"/>
      <c r="D102" s="80"/>
      <c r="E102" s="4"/>
      <c r="F102" s="4"/>
      <c r="G102" s="5"/>
      <c r="H102" s="4"/>
      <c r="I102" s="5"/>
      <c r="J102" s="4"/>
      <c r="K102" s="4"/>
      <c r="L102" s="4"/>
    </row>
    <row r="103" spans="1:12" s="3" customFormat="1" x14ac:dyDescent="0.35">
      <c r="A103" s="12">
        <v>6</v>
      </c>
      <c r="B103" s="2" t="s">
        <v>161</v>
      </c>
      <c r="C103" s="4"/>
      <c r="D103" s="4"/>
      <c r="E103" s="4"/>
      <c r="F103" s="4"/>
      <c r="G103" s="5"/>
      <c r="H103" s="4"/>
      <c r="I103" s="5"/>
      <c r="J103" s="4"/>
      <c r="K103" s="4"/>
      <c r="L103" s="4"/>
    </row>
    <row r="104" spans="1:12" s="3" customFormat="1" x14ac:dyDescent="0.35">
      <c r="A104" s="13"/>
      <c r="C104" s="8" t="s">
        <v>43</v>
      </c>
      <c r="D104" s="8" t="s">
        <v>52</v>
      </c>
      <c r="E104" s="8" t="s">
        <v>48</v>
      </c>
      <c r="F104" s="4"/>
      <c r="G104" s="5"/>
      <c r="H104" s="4"/>
      <c r="I104" s="5"/>
      <c r="J104" s="4"/>
      <c r="K104" s="4"/>
      <c r="L104" s="4"/>
    </row>
    <row r="105" spans="1:12" s="3" customFormat="1" x14ac:dyDescent="0.35">
      <c r="A105" s="13"/>
      <c r="C105" s="15">
        <v>48</v>
      </c>
      <c r="D105" s="15">
        <v>0</v>
      </c>
      <c r="E105" s="15">
        <v>0</v>
      </c>
      <c r="F105" s="4"/>
      <c r="G105" s="5"/>
      <c r="H105" s="4"/>
      <c r="I105" s="5"/>
      <c r="J105" s="4"/>
      <c r="K105" s="4"/>
      <c r="L105" s="4"/>
    </row>
    <row r="106" spans="1:12" s="3" customFormat="1" x14ac:dyDescent="0.35">
      <c r="A106" s="13"/>
      <c r="B106" s="4"/>
      <c r="C106" s="4"/>
      <c r="D106" s="4"/>
      <c r="E106" s="4"/>
      <c r="F106" s="4"/>
      <c r="G106" s="5"/>
      <c r="H106" s="4"/>
      <c r="I106" s="5"/>
      <c r="J106" s="4"/>
      <c r="K106" s="4"/>
      <c r="L106" s="4"/>
    </row>
    <row r="107" spans="1:12" s="3" customFormat="1" x14ac:dyDescent="0.35">
      <c r="A107" s="12"/>
      <c r="C107" s="257" t="s">
        <v>162</v>
      </c>
      <c r="D107" s="257"/>
      <c r="E107" s="257"/>
      <c r="F107" s="4"/>
      <c r="G107" s="5"/>
      <c r="H107" s="4"/>
      <c r="I107" s="5"/>
      <c r="J107" s="4"/>
      <c r="K107" s="4"/>
      <c r="L107" s="4"/>
    </row>
    <row r="108" spans="1:12" s="3" customFormat="1" x14ac:dyDescent="0.35">
      <c r="A108" s="13"/>
      <c r="B108" s="4"/>
      <c r="C108" s="8" t="s">
        <v>44</v>
      </c>
      <c r="D108" s="8" t="s">
        <v>47</v>
      </c>
      <c r="E108" s="8" t="s">
        <v>38</v>
      </c>
      <c r="F108" s="4"/>
      <c r="G108" s="5"/>
      <c r="H108" s="4"/>
      <c r="I108" s="5"/>
      <c r="J108" s="4"/>
      <c r="K108" s="4"/>
      <c r="L108" s="4"/>
    </row>
    <row r="109" spans="1:12" s="3" customFormat="1" x14ac:dyDescent="0.35">
      <c r="A109" s="13"/>
      <c r="B109" s="7" t="s">
        <v>45</v>
      </c>
      <c r="C109" s="14">
        <v>0</v>
      </c>
      <c r="D109" s="14">
        <v>0</v>
      </c>
      <c r="E109" s="14"/>
      <c r="F109" s="4"/>
      <c r="G109" s="5"/>
      <c r="H109" s="4"/>
      <c r="I109" s="5"/>
      <c r="J109" s="4"/>
      <c r="K109" s="4"/>
      <c r="L109" s="4"/>
    </row>
    <row r="110" spans="1:12" s="3" customFormat="1" x14ac:dyDescent="0.35">
      <c r="A110" s="13"/>
      <c r="B110" s="7" t="s">
        <v>46</v>
      </c>
      <c r="C110" s="14">
        <v>0</v>
      </c>
      <c r="D110" s="14">
        <v>0</v>
      </c>
      <c r="E110" s="14"/>
      <c r="F110" s="4"/>
      <c r="G110" s="5"/>
      <c r="H110" s="4"/>
      <c r="I110" s="5"/>
      <c r="J110" s="4"/>
      <c r="K110" s="4"/>
      <c r="L110" s="4"/>
    </row>
    <row r="111" spans="1:12" s="3" customFormat="1" x14ac:dyDescent="0.35">
      <c r="A111" s="13"/>
      <c r="B111" s="4"/>
      <c r="C111" s="4"/>
      <c r="D111" s="4"/>
      <c r="E111" s="4"/>
      <c r="F111" s="4"/>
      <c r="G111" s="5"/>
      <c r="H111" s="4"/>
      <c r="I111" s="5"/>
      <c r="J111" s="4"/>
      <c r="K111" s="4"/>
      <c r="L111" s="4"/>
    </row>
    <row r="112" spans="1:12" s="3" customFormat="1" x14ac:dyDescent="0.35">
      <c r="A112" s="12"/>
      <c r="B112" s="7" t="s">
        <v>163</v>
      </c>
      <c r="C112" s="113">
        <f>SUM(C105:E105,C109:D110)</f>
        <v>48</v>
      </c>
      <c r="D112" s="4"/>
      <c r="E112" s="4"/>
      <c r="F112" s="4"/>
      <c r="G112" s="5"/>
      <c r="H112" s="4"/>
      <c r="I112" s="5"/>
      <c r="J112" s="4"/>
      <c r="K112" s="4"/>
      <c r="L112" s="4"/>
    </row>
    <row r="113" spans="1:33" s="3" customFormat="1" x14ac:dyDescent="0.35">
      <c r="A113" s="13"/>
      <c r="E113" s="4"/>
      <c r="F113" s="4"/>
      <c r="G113" s="5"/>
      <c r="H113" s="4"/>
      <c r="I113" s="5"/>
      <c r="J113" s="4"/>
      <c r="K113" s="4"/>
      <c r="L113" s="4"/>
    </row>
    <row r="114" spans="1:33" s="3" customFormat="1" x14ac:dyDescent="0.35">
      <c r="A114" s="13"/>
      <c r="B114" s="4"/>
      <c r="C114" s="4"/>
      <c r="D114" s="4"/>
      <c r="E114" s="4"/>
      <c r="F114" s="4"/>
      <c r="G114" s="5"/>
      <c r="H114" s="4"/>
      <c r="I114" s="5"/>
      <c r="J114" s="4"/>
      <c r="K114" s="4"/>
      <c r="L114" s="4"/>
    </row>
    <row r="115" spans="1:33" s="3" customFormat="1" x14ac:dyDescent="0.35">
      <c r="A115" s="12">
        <v>7</v>
      </c>
      <c r="B115" s="2" t="s">
        <v>123</v>
      </c>
      <c r="C115" s="4"/>
      <c r="D115" s="28"/>
      <c r="E115" s="4"/>
      <c r="F115" s="4"/>
      <c r="G115" s="5"/>
      <c r="H115" s="4"/>
      <c r="I115" s="5"/>
      <c r="J115" s="4"/>
      <c r="K115" s="4"/>
      <c r="L115" s="4"/>
    </row>
    <row r="116" spans="1:33" s="3" customFormat="1" ht="19" x14ac:dyDescent="0.35">
      <c r="A116" s="13"/>
      <c r="B116" s="29" t="s">
        <v>49</v>
      </c>
      <c r="C116" s="29" t="s">
        <v>50</v>
      </c>
      <c r="D116" s="242" t="s">
        <v>164</v>
      </c>
      <c r="E116" s="243"/>
      <c r="F116" s="243"/>
      <c r="G116" s="243"/>
      <c r="H116" s="30" t="s">
        <v>53</v>
      </c>
      <c r="I116" s="30" t="s">
        <v>205</v>
      </c>
      <c r="J116" s="29" t="s">
        <v>54</v>
      </c>
      <c r="K116" s="29" t="s">
        <v>55</v>
      </c>
      <c r="L116" s="29" t="s">
        <v>56</v>
      </c>
      <c r="M116" s="29" t="s">
        <v>57</v>
      </c>
    </row>
    <row r="117" spans="1:33" s="3" customFormat="1" x14ac:dyDescent="0.35">
      <c r="A117" s="13"/>
      <c r="B117" s="31">
        <f>SUM(D45,D51,D57,D63)</f>
        <v>0</v>
      </c>
      <c r="C117" s="31">
        <f>SUM(E83:E85,E90:E91)</f>
        <v>472</v>
      </c>
      <c r="D117" s="244">
        <f>C112</f>
        <v>48</v>
      </c>
      <c r="E117" s="245"/>
      <c r="F117" s="245"/>
      <c r="G117" s="246"/>
      <c r="H117" s="31">
        <f>C95</f>
        <v>0</v>
      </c>
      <c r="I117" s="31">
        <f>C100</f>
        <v>0</v>
      </c>
      <c r="J117" s="32">
        <f>SUM(B117:I117)</f>
        <v>520</v>
      </c>
      <c r="K117" s="33">
        <f>SUM(D33:D36)</f>
        <v>487.5</v>
      </c>
      <c r="L117" s="32">
        <f>K117-J117</f>
        <v>-32.5</v>
      </c>
      <c r="M117" s="34">
        <f>L117/K117</f>
        <v>-6.6666666666666666E-2</v>
      </c>
      <c r="N117" s="85" t="s">
        <v>66</v>
      </c>
    </row>
    <row r="118" spans="1:33" s="3" customFormat="1" x14ac:dyDescent="0.35">
      <c r="A118" s="13"/>
      <c r="B118" s="4"/>
      <c r="C118" s="4"/>
      <c r="D118" s="4"/>
      <c r="E118" s="4"/>
      <c r="F118" s="4"/>
      <c r="G118" s="5"/>
      <c r="H118" s="5"/>
      <c r="J118" s="4"/>
      <c r="K118" s="4"/>
      <c r="L118" s="4"/>
      <c r="N118" s="86" t="s">
        <v>67</v>
      </c>
    </row>
    <row r="119" spans="1:33" s="3" customFormat="1" x14ac:dyDescent="0.35">
      <c r="A119" s="13"/>
      <c r="B119" s="4"/>
      <c r="C119" s="4"/>
      <c r="D119" s="4"/>
      <c r="E119" s="4"/>
      <c r="F119" s="4"/>
      <c r="G119" s="5"/>
      <c r="H119" s="5"/>
      <c r="I119" s="4"/>
      <c r="J119" s="4"/>
      <c r="K119" s="4"/>
      <c r="M119" s="86"/>
    </row>
    <row r="120" spans="1:33" s="3" customFormat="1" x14ac:dyDescent="0.35">
      <c r="A120" s="12">
        <v>8</v>
      </c>
      <c r="B120" s="65" t="s">
        <v>124</v>
      </c>
      <c r="D120" s="92"/>
      <c r="E120" s="92"/>
      <c r="F120" s="92"/>
      <c r="G120" s="300" t="s">
        <v>151</v>
      </c>
      <c r="H120" s="301"/>
      <c r="I120" s="301"/>
      <c r="J120" s="92"/>
      <c r="K120" s="92"/>
      <c r="L120" s="92"/>
    </row>
    <row r="121" spans="1:33" s="3" customFormat="1" ht="39" x14ac:dyDescent="0.35">
      <c r="A121" s="8" t="s">
        <v>125</v>
      </c>
      <c r="B121" s="8" t="s">
        <v>153</v>
      </c>
      <c r="C121" s="10" t="s">
        <v>65</v>
      </c>
      <c r="D121" s="10" t="s">
        <v>117</v>
      </c>
      <c r="E121" s="10" t="s">
        <v>249</v>
      </c>
      <c r="F121" s="8" t="s">
        <v>250</v>
      </c>
      <c r="G121" s="8" t="s">
        <v>126</v>
      </c>
      <c r="H121" s="8" t="s">
        <v>127</v>
      </c>
      <c r="I121" s="8" t="s">
        <v>168</v>
      </c>
      <c r="J121" s="10" t="s">
        <v>41</v>
      </c>
      <c r="K121" s="10" t="s">
        <v>167</v>
      </c>
      <c r="L121" s="10" t="s">
        <v>169</v>
      </c>
      <c r="M121" s="10" t="s">
        <v>128</v>
      </c>
    </row>
    <row r="122" spans="1:33" s="3" customFormat="1" x14ac:dyDescent="0.35">
      <c r="A122" s="93">
        <f>$B$27</f>
        <v>46233</v>
      </c>
      <c r="B122" s="93" t="str">
        <f>$C$24</f>
        <v>CN-107</v>
      </c>
      <c r="C122" s="75">
        <v>1</v>
      </c>
      <c r="D122" s="75" t="str">
        <f>B33</f>
        <v>DEBDA0319-T1-BC.8</v>
      </c>
      <c r="E122" s="107">
        <f>D33</f>
        <v>487.5</v>
      </c>
      <c r="F122" s="43">
        <f>D45</f>
        <v>0</v>
      </c>
      <c r="G122" s="303">
        <f>SUM(E90:E91)</f>
        <v>472</v>
      </c>
      <c r="H122" s="303">
        <f>SUM(E83:E85)</f>
        <v>0</v>
      </c>
      <c r="I122" s="303">
        <f>C112</f>
        <v>48</v>
      </c>
      <c r="J122" s="42">
        <v>0</v>
      </c>
      <c r="K122" s="42">
        <f>F122+G122+H122+I122+J122</f>
        <v>520</v>
      </c>
      <c r="L122" s="42">
        <f>K122-E122</f>
        <v>32.5</v>
      </c>
      <c r="M122" s="34">
        <f>L122/E122</f>
        <v>6.6666666666666666E-2</v>
      </c>
    </row>
    <row r="123" spans="1:33" s="38" customFormat="1" x14ac:dyDescent="0.3">
      <c r="A123" s="93">
        <f t="shared" ref="A123:A125" si="0">$B$27</f>
        <v>46233</v>
      </c>
      <c r="B123" s="93" t="str">
        <f t="shared" ref="B123:B125" si="1">$C$24</f>
        <v>CN-107</v>
      </c>
      <c r="C123" s="75">
        <v>1</v>
      </c>
      <c r="D123" s="75">
        <f t="shared" ref="D123:D125" si="2">B34</f>
        <v>0</v>
      </c>
      <c r="E123" s="107">
        <f t="shared" ref="E123:E125" si="3">D34</f>
        <v>0</v>
      </c>
      <c r="F123" s="43">
        <f>D51</f>
        <v>0</v>
      </c>
      <c r="G123" s="304"/>
      <c r="H123" s="304"/>
      <c r="I123" s="304"/>
      <c r="J123" s="42">
        <v>0</v>
      </c>
      <c r="K123" s="42">
        <f t="shared" ref="K123:K124" si="4">F123+G123+H123+I123+J123</f>
        <v>0</v>
      </c>
      <c r="L123" s="42">
        <f t="shared" ref="L123:L124" si="5">K123-E123</f>
        <v>0</v>
      </c>
      <c r="M123" s="34" t="e">
        <f>L123/E123</f>
        <v>#DIV/0!</v>
      </c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 spans="1:33" s="38" customFormat="1" x14ac:dyDescent="0.3">
      <c r="A124" s="93">
        <f t="shared" si="0"/>
        <v>46233</v>
      </c>
      <c r="B124" s="93" t="str">
        <f t="shared" si="1"/>
        <v>CN-107</v>
      </c>
      <c r="C124" s="75">
        <v>1</v>
      </c>
      <c r="D124" s="75">
        <f t="shared" si="2"/>
        <v>0</v>
      </c>
      <c r="E124" s="107">
        <f t="shared" si="3"/>
        <v>0</v>
      </c>
      <c r="F124" s="43">
        <f>D57</f>
        <v>0</v>
      </c>
      <c r="G124" s="304"/>
      <c r="H124" s="304"/>
      <c r="I124" s="304"/>
      <c r="J124" s="42">
        <v>0</v>
      </c>
      <c r="K124" s="42">
        <f t="shared" si="4"/>
        <v>0</v>
      </c>
      <c r="L124" s="42">
        <f t="shared" si="5"/>
        <v>0</v>
      </c>
      <c r="M124" s="34" t="e">
        <f>L124/E124</f>
        <v>#DIV/0!</v>
      </c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 spans="1:33" s="38" customFormat="1" x14ac:dyDescent="0.3">
      <c r="A125" s="93">
        <f t="shared" si="0"/>
        <v>46233</v>
      </c>
      <c r="B125" s="93" t="str">
        <f t="shared" si="1"/>
        <v>CN-107</v>
      </c>
      <c r="C125" s="75">
        <v>1</v>
      </c>
      <c r="D125" s="75">
        <f t="shared" si="2"/>
        <v>0</v>
      </c>
      <c r="E125" s="107">
        <f t="shared" si="3"/>
        <v>0</v>
      </c>
      <c r="F125" s="42">
        <f>D63</f>
        <v>0</v>
      </c>
      <c r="G125" s="305"/>
      <c r="H125" s="305"/>
      <c r="I125" s="305"/>
      <c r="J125" s="42">
        <f>C95</f>
        <v>0</v>
      </c>
      <c r="K125" s="42"/>
      <c r="L125" s="42"/>
      <c r="M125" s="34" t="e">
        <f>L125/E125</f>
        <v>#DIV/0!</v>
      </c>
      <c r="N125" s="108" t="s">
        <v>152</v>
      </c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 spans="1:33" s="3" customFormat="1" x14ac:dyDescent="0.35">
      <c r="G126" s="6"/>
      <c r="I126" s="6"/>
      <c r="K126" s="54"/>
    </row>
    <row r="127" spans="1:33" s="3" customFormat="1" x14ac:dyDescent="0.35">
      <c r="G127" s="35" t="s">
        <v>58</v>
      </c>
      <c r="H127" s="36" t="s">
        <v>59</v>
      </c>
      <c r="I127" s="6"/>
    </row>
    <row r="128" spans="1:33" s="3" customFormat="1" x14ac:dyDescent="0.35">
      <c r="G128" s="37" t="s">
        <v>60</v>
      </c>
      <c r="I128" s="6"/>
    </row>
    <row r="129" spans="1:25" s="3" customFormat="1" x14ac:dyDescent="0.35">
      <c r="G129" s="3" t="s">
        <v>61</v>
      </c>
      <c r="I129" s="6"/>
    </row>
    <row r="130" spans="1:25" s="3" customFormat="1" x14ac:dyDescent="0.35">
      <c r="G130" s="3" t="s">
        <v>62</v>
      </c>
      <c r="H130" s="4"/>
      <c r="I130" s="6"/>
    </row>
    <row r="132" spans="1:25" x14ac:dyDescent="0.35">
      <c r="A132" s="296" t="s">
        <v>154</v>
      </c>
      <c r="B132" s="296"/>
      <c r="C132" s="296"/>
      <c r="D132" s="296"/>
      <c r="E132" s="296"/>
      <c r="F132" s="296"/>
      <c r="G132" s="296"/>
      <c r="H132" s="296"/>
      <c r="I132" s="296"/>
      <c r="J132" s="296"/>
      <c r="K132" s="296"/>
      <c r="L132" s="296"/>
    </row>
    <row r="134" spans="1:25" s="3" customFormat="1" x14ac:dyDescent="0.35">
      <c r="B134" s="4"/>
      <c r="C134" s="4"/>
      <c r="D134" s="4"/>
      <c r="E134" s="4"/>
      <c r="G134" s="257" t="s">
        <v>68</v>
      </c>
      <c r="H134" s="257"/>
      <c r="I134" s="257"/>
      <c r="J134" s="257"/>
      <c r="K134" s="257"/>
      <c r="L134" s="257"/>
      <c r="M134" s="257"/>
      <c r="N134" s="257"/>
      <c r="P134" s="247" t="s">
        <v>69</v>
      </c>
      <c r="Q134" s="247"/>
      <c r="R134" s="247"/>
      <c r="S134" s="247"/>
      <c r="T134" s="247"/>
      <c r="U134" s="247"/>
      <c r="V134" s="247"/>
      <c r="W134" s="247"/>
    </row>
    <row r="135" spans="1:25" s="3" customFormat="1" ht="58" x14ac:dyDescent="0.35">
      <c r="A135" s="8" t="s">
        <v>33</v>
      </c>
      <c r="B135" s="8" t="s">
        <v>70</v>
      </c>
      <c r="C135" s="8" t="s">
        <v>71</v>
      </c>
      <c r="D135" s="8" t="s">
        <v>72</v>
      </c>
      <c r="E135" s="8" t="s">
        <v>34</v>
      </c>
      <c r="F135" s="47" t="s">
        <v>73</v>
      </c>
      <c r="G135" s="8" t="s">
        <v>74</v>
      </c>
      <c r="H135" s="10" t="s">
        <v>156</v>
      </c>
      <c r="I135" s="10" t="s">
        <v>75</v>
      </c>
      <c r="J135" s="10" t="s">
        <v>76</v>
      </c>
      <c r="K135" s="10" t="s">
        <v>158</v>
      </c>
      <c r="L135" s="48" t="s">
        <v>78</v>
      </c>
      <c r="M135" s="48" t="s">
        <v>79</v>
      </c>
      <c r="N135" s="48" t="s">
        <v>80</v>
      </c>
      <c r="O135" s="48" t="s">
        <v>81</v>
      </c>
      <c r="P135" s="48" t="s">
        <v>82</v>
      </c>
      <c r="Q135" s="10" t="s">
        <v>157</v>
      </c>
      <c r="R135" s="10" t="s">
        <v>83</v>
      </c>
      <c r="S135" s="10" t="s">
        <v>84</v>
      </c>
      <c r="T135" s="10" t="s">
        <v>85</v>
      </c>
      <c r="U135" s="48" t="s">
        <v>86</v>
      </c>
      <c r="V135" s="48" t="s">
        <v>87</v>
      </c>
      <c r="W135" s="48" t="s">
        <v>88</v>
      </c>
    </row>
    <row r="136" spans="1:25" s="3" customFormat="1" x14ac:dyDescent="0.35">
      <c r="A136" s="43">
        <v>1</v>
      </c>
      <c r="B136" s="109" t="str">
        <f>C40</f>
        <v>Canal C75.75 PRE B</v>
      </c>
      <c r="C136" s="44">
        <f>B117</f>
        <v>0</v>
      </c>
      <c r="D136" s="49">
        <f>E45</f>
        <v>0</v>
      </c>
      <c r="E136" s="43">
        <v>6</v>
      </c>
      <c r="F136" s="50">
        <v>11805</v>
      </c>
      <c r="G136" s="50">
        <f>F136*D136</f>
        <v>0</v>
      </c>
      <c r="H136" s="49">
        <f>400*D136</f>
        <v>0</v>
      </c>
      <c r="I136" s="50">
        <f>300*D136</f>
        <v>0</v>
      </c>
      <c r="J136" s="49">
        <f>500*D136</f>
        <v>0</v>
      </c>
      <c r="K136" s="49">
        <f>150*D136</f>
        <v>0</v>
      </c>
      <c r="L136" s="50">
        <f>200*D136</f>
        <v>0</v>
      </c>
      <c r="M136" s="49">
        <f>2%*G136</f>
        <v>0</v>
      </c>
      <c r="N136" s="51">
        <f>SUM(G136:M136)</f>
        <v>0</v>
      </c>
      <c r="O136" s="110">
        <f>SUM(C45,C51,C57,C63)</f>
        <v>0</v>
      </c>
      <c r="P136" s="49">
        <f>$O136*G136</f>
        <v>0</v>
      </c>
      <c r="Q136" s="49">
        <f t="shared" ref="Q136:V136" si="6">$O136*H136</f>
        <v>0</v>
      </c>
      <c r="R136" s="49">
        <f t="shared" si="6"/>
        <v>0</v>
      </c>
      <c r="S136" s="49">
        <f t="shared" si="6"/>
        <v>0</v>
      </c>
      <c r="T136" s="49">
        <f t="shared" si="6"/>
        <v>0</v>
      </c>
      <c r="U136" s="49">
        <f t="shared" si="6"/>
        <v>0</v>
      </c>
      <c r="V136" s="49">
        <f t="shared" si="6"/>
        <v>0</v>
      </c>
      <c r="W136" s="51">
        <f>O136*N136</f>
        <v>0</v>
      </c>
      <c r="X136" s="54"/>
    </row>
    <row r="137" spans="1:25" s="3" customFormat="1" x14ac:dyDescent="0.35">
      <c r="A137" s="43"/>
      <c r="B137" s="109"/>
      <c r="C137" s="43"/>
      <c r="D137" s="49"/>
      <c r="E137" s="43"/>
      <c r="F137" s="52"/>
      <c r="G137" s="50">
        <f t="shared" ref="G137" si="7">F137*D137</f>
        <v>0</v>
      </c>
      <c r="H137" s="49">
        <f t="shared" ref="H137" si="8">400*D137</f>
        <v>0</v>
      </c>
      <c r="I137" s="50">
        <f t="shared" ref="I137" si="9">300*D137</f>
        <v>0</v>
      </c>
      <c r="J137" s="49">
        <f>500*D137</f>
        <v>0</v>
      </c>
      <c r="K137" s="49">
        <f t="shared" ref="K137" si="10">200*D137</f>
        <v>0</v>
      </c>
      <c r="L137" s="50">
        <f>200*D137</f>
        <v>0</v>
      </c>
      <c r="M137" s="49">
        <f>2%*G137</f>
        <v>0</v>
      </c>
      <c r="N137" s="51">
        <f>SUM(G137:M137)</f>
        <v>0</v>
      </c>
      <c r="O137" s="43"/>
      <c r="P137" s="49"/>
      <c r="Q137" s="49"/>
      <c r="R137" s="49"/>
      <c r="S137" s="49"/>
      <c r="T137" s="49"/>
      <c r="U137" s="49"/>
      <c r="V137" s="49"/>
      <c r="W137" s="51"/>
    </row>
    <row r="138" spans="1:25" s="3" customFormat="1" x14ac:dyDescent="0.35">
      <c r="A138" s="13"/>
      <c r="B138" s="53"/>
      <c r="C138" s="12">
        <f>SUM(C136:C137)</f>
        <v>0</v>
      </c>
      <c r="D138" s="54"/>
      <c r="E138" s="13"/>
      <c r="F138" s="6"/>
      <c r="G138" s="6"/>
      <c r="H138" s="54"/>
      <c r="I138" s="6"/>
      <c r="L138" s="6"/>
      <c r="M138" s="54"/>
      <c r="N138" s="54"/>
      <c r="P138" s="55">
        <f t="shared" ref="P138:V138" si="11">SUM(P136:P137)</f>
        <v>0</v>
      </c>
      <c r="Q138" s="55">
        <f t="shared" si="11"/>
        <v>0</v>
      </c>
      <c r="R138" s="55">
        <f t="shared" si="11"/>
        <v>0</v>
      </c>
      <c r="S138" s="55">
        <f t="shared" si="11"/>
        <v>0</v>
      </c>
      <c r="T138" s="55">
        <f t="shared" si="11"/>
        <v>0</v>
      </c>
      <c r="U138" s="55">
        <f t="shared" si="11"/>
        <v>0</v>
      </c>
      <c r="V138" s="55">
        <f t="shared" si="11"/>
        <v>0</v>
      </c>
    </row>
    <row r="139" spans="1:25" s="3" customFormat="1" x14ac:dyDescent="0.35">
      <c r="A139" s="13"/>
      <c r="B139" s="53"/>
      <c r="C139" s="12"/>
      <c r="D139" s="54"/>
      <c r="E139" s="13"/>
      <c r="F139" s="6"/>
      <c r="G139" s="6"/>
      <c r="H139" s="54"/>
      <c r="I139" s="6"/>
      <c r="J139" s="54"/>
      <c r="K139" s="54"/>
      <c r="N139" s="55"/>
      <c r="O139" s="55"/>
      <c r="P139" s="55"/>
    </row>
    <row r="140" spans="1:25" s="3" customFormat="1" x14ac:dyDescent="0.35">
      <c r="A140" s="45" t="s">
        <v>89</v>
      </c>
      <c r="B140" s="53"/>
      <c r="C140" s="13"/>
      <c r="D140" s="54"/>
      <c r="E140" s="13"/>
      <c r="F140" s="56"/>
      <c r="G140" s="6"/>
      <c r="I140" s="6"/>
      <c r="K140" s="6"/>
    </row>
    <row r="141" spans="1:25" s="3" customFormat="1" x14ac:dyDescent="0.35">
      <c r="A141" s="45" t="s">
        <v>90</v>
      </c>
      <c r="B141" s="53"/>
      <c r="C141" s="13"/>
      <c r="D141" s="54"/>
      <c r="E141" s="13"/>
      <c r="F141" s="6"/>
      <c r="G141" s="297" t="s">
        <v>68</v>
      </c>
      <c r="H141" s="298"/>
      <c r="I141" s="298"/>
      <c r="J141" s="298"/>
      <c r="K141" s="298"/>
      <c r="L141" s="298"/>
      <c r="M141" s="298"/>
      <c r="N141" s="299"/>
      <c r="P141" s="300" t="s">
        <v>170</v>
      </c>
      <c r="Q141" s="301"/>
      <c r="R141" s="301"/>
      <c r="S141" s="301"/>
      <c r="T141" s="301"/>
      <c r="U141" s="301"/>
      <c r="V141" s="301"/>
      <c r="W141" s="302"/>
    </row>
    <row r="142" spans="1:25" s="3" customFormat="1" ht="58" x14ac:dyDescent="0.35">
      <c r="A142" s="8" t="s">
        <v>33</v>
      </c>
      <c r="B142" s="8" t="s">
        <v>70</v>
      </c>
      <c r="C142" s="8" t="s">
        <v>71</v>
      </c>
      <c r="D142" s="8" t="s">
        <v>72</v>
      </c>
      <c r="E142" s="8" t="s">
        <v>34</v>
      </c>
      <c r="F142" s="47" t="s">
        <v>73</v>
      </c>
      <c r="G142" s="8" t="s">
        <v>74</v>
      </c>
      <c r="H142" s="10" t="s">
        <v>159</v>
      </c>
      <c r="I142" s="10" t="s">
        <v>75</v>
      </c>
      <c r="J142" s="10" t="s">
        <v>76</v>
      </c>
      <c r="K142" s="10" t="s">
        <v>77</v>
      </c>
      <c r="L142" s="48" t="s">
        <v>78</v>
      </c>
      <c r="M142" s="48" t="s">
        <v>79</v>
      </c>
      <c r="N142" s="48" t="s">
        <v>80</v>
      </c>
      <c r="O142" s="57" t="s">
        <v>91</v>
      </c>
      <c r="P142" s="48" t="s">
        <v>82</v>
      </c>
      <c r="Q142" s="10" t="s">
        <v>157</v>
      </c>
      <c r="R142" s="10" t="s">
        <v>83</v>
      </c>
      <c r="S142" s="10" t="s">
        <v>92</v>
      </c>
      <c r="T142" s="10" t="s">
        <v>85</v>
      </c>
      <c r="U142" s="48" t="s">
        <v>86</v>
      </c>
      <c r="V142" s="48" t="s">
        <v>87</v>
      </c>
      <c r="W142" s="48" t="s">
        <v>88</v>
      </c>
      <c r="X142" s="48" t="s">
        <v>171</v>
      </c>
      <c r="Y142" s="48" t="s">
        <v>240</v>
      </c>
    </row>
    <row r="143" spans="1:25" s="3" customFormat="1" x14ac:dyDescent="0.35">
      <c r="A143" s="43">
        <v>1</v>
      </c>
      <c r="B143" s="58" t="str">
        <f>G83</f>
        <v>-KW 2- 01</v>
      </c>
      <c r="C143" s="130">
        <f>E83</f>
        <v>0</v>
      </c>
      <c r="D143" s="49">
        <f>F83</f>
        <v>0</v>
      </c>
      <c r="E143" s="43">
        <f>C83</f>
        <v>0</v>
      </c>
      <c r="F143" s="50">
        <v>11805</v>
      </c>
      <c r="G143" s="50">
        <f>F143*D143</f>
        <v>0</v>
      </c>
      <c r="H143" s="49">
        <f>400*D143</f>
        <v>0</v>
      </c>
      <c r="I143" s="50">
        <f>300*D143</f>
        <v>0</v>
      </c>
      <c r="J143" s="49">
        <f>500*D143</f>
        <v>0</v>
      </c>
      <c r="K143" s="49">
        <f>200*D143</f>
        <v>0</v>
      </c>
      <c r="L143" s="50">
        <f>200*D143</f>
        <v>0</v>
      </c>
      <c r="M143" s="49">
        <f>2%*G143</f>
        <v>0</v>
      </c>
      <c r="N143" s="51">
        <f>SUM(G143:M143)</f>
        <v>0</v>
      </c>
      <c r="O143" s="131">
        <f>D83</f>
        <v>0</v>
      </c>
      <c r="P143" s="49">
        <f>G143*$O143</f>
        <v>0</v>
      </c>
      <c r="Q143" s="49">
        <f t="shared" ref="Q143:V145" si="12">H143*$O143</f>
        <v>0</v>
      </c>
      <c r="R143" s="49">
        <f t="shared" si="12"/>
        <v>0</v>
      </c>
      <c r="S143" s="49">
        <f t="shared" si="12"/>
        <v>0</v>
      </c>
      <c r="T143" s="49">
        <f t="shared" si="12"/>
        <v>0</v>
      </c>
      <c r="U143" s="49">
        <f t="shared" si="12"/>
        <v>0</v>
      </c>
      <c r="V143" s="49">
        <f t="shared" si="12"/>
        <v>0</v>
      </c>
      <c r="W143" s="51">
        <f>SUM(P143:V143)</f>
        <v>0</v>
      </c>
      <c r="X143" s="51">
        <f>W143*80%</f>
        <v>0</v>
      </c>
      <c r="Y143" s="51">
        <f>W143*20%</f>
        <v>0</v>
      </c>
    </row>
    <row r="144" spans="1:25" s="3" customFormat="1" x14ac:dyDescent="0.35">
      <c r="A144" s="43">
        <v>2</v>
      </c>
      <c r="B144" s="58" t="str">
        <f t="shared" ref="B144:B145" si="13">G84</f>
        <v>-KW 2- 02</v>
      </c>
      <c r="C144" s="130">
        <f t="shared" ref="C144:D145" si="14">E84</f>
        <v>0</v>
      </c>
      <c r="D144" s="49">
        <f t="shared" si="14"/>
        <v>0</v>
      </c>
      <c r="E144" s="43">
        <f t="shared" ref="E144:E145" si="15">C84</f>
        <v>0</v>
      </c>
      <c r="F144" s="50">
        <v>11805</v>
      </c>
      <c r="G144" s="50">
        <f t="shared" ref="G144:G145" si="16">F144*D144</f>
        <v>0</v>
      </c>
      <c r="H144" s="49">
        <f t="shared" ref="H144:H145" si="17">400*D144</f>
        <v>0</v>
      </c>
      <c r="I144" s="50">
        <f t="shared" ref="I144:I145" si="18">300*D144</f>
        <v>0</v>
      </c>
      <c r="J144" s="49">
        <f t="shared" ref="J144:J145" si="19">500*D144</f>
        <v>0</v>
      </c>
      <c r="K144" s="49">
        <f t="shared" ref="K144:K145" si="20">200*D144</f>
        <v>0</v>
      </c>
      <c r="L144" s="50">
        <f t="shared" ref="L144:L145" si="21">200*D144</f>
        <v>0</v>
      </c>
      <c r="M144" s="49">
        <f t="shared" ref="M144:M145" si="22">2%*G144</f>
        <v>0</v>
      </c>
      <c r="N144" s="51">
        <f t="shared" ref="N144:N145" si="23">SUM(G144:M144)</f>
        <v>0</v>
      </c>
      <c r="O144" s="131">
        <f t="shared" ref="O144:O145" si="24">D84</f>
        <v>0</v>
      </c>
      <c r="P144" s="49">
        <f t="shared" ref="P144:P145" si="25">G144*$O144</f>
        <v>0</v>
      </c>
      <c r="Q144" s="49">
        <f t="shared" si="12"/>
        <v>0</v>
      </c>
      <c r="R144" s="49">
        <f t="shared" si="12"/>
        <v>0</v>
      </c>
      <c r="S144" s="49">
        <f t="shared" si="12"/>
        <v>0</v>
      </c>
      <c r="T144" s="49">
        <f t="shared" si="12"/>
        <v>0</v>
      </c>
      <c r="U144" s="49">
        <f t="shared" si="12"/>
        <v>0</v>
      </c>
      <c r="V144" s="49">
        <f t="shared" si="12"/>
        <v>0</v>
      </c>
      <c r="W144" s="51">
        <f t="shared" ref="W144:W145" si="26">SUM(P144:V144)</f>
        <v>0</v>
      </c>
      <c r="X144" s="51">
        <f t="shared" ref="X144:X145" si="27">W144*80%</f>
        <v>0</v>
      </c>
      <c r="Y144" s="51">
        <f t="shared" ref="Y144:Y145" si="28">W144*20%</f>
        <v>0</v>
      </c>
    </row>
    <row r="145" spans="1:25" s="3" customFormat="1" x14ac:dyDescent="0.35">
      <c r="A145" s="43">
        <v>3</v>
      </c>
      <c r="B145" s="58" t="str">
        <f t="shared" si="13"/>
        <v>-KW 2- 03</v>
      </c>
      <c r="C145" s="130">
        <f t="shared" si="14"/>
        <v>0</v>
      </c>
      <c r="D145" s="49">
        <f t="shared" si="14"/>
        <v>0</v>
      </c>
      <c r="E145" s="43">
        <f t="shared" si="15"/>
        <v>0</v>
      </c>
      <c r="F145" s="50">
        <v>11805</v>
      </c>
      <c r="G145" s="50">
        <f t="shared" si="16"/>
        <v>0</v>
      </c>
      <c r="H145" s="49">
        <f t="shared" si="17"/>
        <v>0</v>
      </c>
      <c r="I145" s="50">
        <f t="shared" si="18"/>
        <v>0</v>
      </c>
      <c r="J145" s="49">
        <f t="shared" si="19"/>
        <v>0</v>
      </c>
      <c r="K145" s="49">
        <f t="shared" si="20"/>
        <v>0</v>
      </c>
      <c r="L145" s="50">
        <f t="shared" si="21"/>
        <v>0</v>
      </c>
      <c r="M145" s="49">
        <f t="shared" si="22"/>
        <v>0</v>
      </c>
      <c r="N145" s="51">
        <f t="shared" si="23"/>
        <v>0</v>
      </c>
      <c r="O145" s="131">
        <f t="shared" si="24"/>
        <v>0</v>
      </c>
      <c r="P145" s="49">
        <f t="shared" si="25"/>
        <v>0</v>
      </c>
      <c r="Q145" s="49">
        <f t="shared" si="12"/>
        <v>0</v>
      </c>
      <c r="R145" s="49">
        <f t="shared" si="12"/>
        <v>0</v>
      </c>
      <c r="S145" s="49">
        <f t="shared" si="12"/>
        <v>0</v>
      </c>
      <c r="T145" s="49">
        <f t="shared" si="12"/>
        <v>0</v>
      </c>
      <c r="U145" s="49">
        <f t="shared" si="12"/>
        <v>0</v>
      </c>
      <c r="V145" s="49">
        <f t="shared" si="12"/>
        <v>0</v>
      </c>
      <c r="W145" s="51">
        <f t="shared" si="26"/>
        <v>0</v>
      </c>
      <c r="X145" s="51">
        <f t="shared" si="27"/>
        <v>0</v>
      </c>
      <c r="Y145" s="51">
        <f t="shared" si="28"/>
        <v>0</v>
      </c>
    </row>
    <row r="146" spans="1:25" s="3" customFormat="1" x14ac:dyDescent="0.35">
      <c r="A146" s="13"/>
      <c r="B146" s="59"/>
      <c r="C146" s="12">
        <f>SUM(C143)</f>
        <v>0</v>
      </c>
      <c r="D146" s="54"/>
      <c r="E146" s="13"/>
      <c r="F146" s="60"/>
      <c r="G146" s="60"/>
      <c r="H146" s="55"/>
      <c r="I146" s="60"/>
      <c r="J146" s="54"/>
      <c r="K146" s="54"/>
      <c r="P146" s="55">
        <f>SUM(P143:P145)</f>
        <v>0</v>
      </c>
      <c r="Q146" s="55">
        <f t="shared" ref="Q146:Y146" si="29">SUM(Q143:Q145)</f>
        <v>0</v>
      </c>
      <c r="R146" s="55">
        <f t="shared" si="29"/>
        <v>0</v>
      </c>
      <c r="S146" s="55">
        <f t="shared" si="29"/>
        <v>0</v>
      </c>
      <c r="T146" s="55">
        <f t="shared" si="29"/>
        <v>0</v>
      </c>
      <c r="U146" s="55">
        <f t="shared" si="29"/>
        <v>0</v>
      </c>
      <c r="V146" s="55">
        <f t="shared" si="29"/>
        <v>0</v>
      </c>
      <c r="W146" s="55">
        <f t="shared" si="29"/>
        <v>0</v>
      </c>
      <c r="X146" s="55">
        <f t="shared" si="29"/>
        <v>0</v>
      </c>
      <c r="Y146" s="55">
        <f t="shared" si="29"/>
        <v>0</v>
      </c>
    </row>
    <row r="147" spans="1:25" s="3" customFormat="1" x14ac:dyDescent="0.35">
      <c r="A147" s="13"/>
      <c r="B147" s="59"/>
      <c r="C147" s="12"/>
      <c r="D147" s="54"/>
      <c r="E147" s="13"/>
      <c r="F147" s="60"/>
      <c r="G147" s="60"/>
      <c r="H147" s="55"/>
      <c r="I147" s="60"/>
      <c r="J147" s="54"/>
      <c r="K147" s="54"/>
    </row>
    <row r="148" spans="1:25" s="3" customFormat="1" x14ac:dyDescent="0.35">
      <c r="A148" s="13"/>
      <c r="B148" s="53"/>
      <c r="D148" s="54"/>
      <c r="E148" s="13"/>
      <c r="F148" s="6"/>
      <c r="G148" s="6"/>
      <c r="H148" s="54"/>
      <c r="I148" s="6"/>
      <c r="J148" s="54"/>
      <c r="K148" s="54"/>
    </row>
    <row r="149" spans="1:25" s="3" customFormat="1" x14ac:dyDescent="0.35">
      <c r="A149" s="45" t="s">
        <v>93</v>
      </c>
      <c r="B149" s="53"/>
      <c r="C149" s="13"/>
      <c r="D149" s="54"/>
      <c r="E149" s="13"/>
      <c r="F149" s="6"/>
      <c r="G149" s="297" t="s">
        <v>68</v>
      </c>
      <c r="H149" s="298"/>
      <c r="I149" s="298"/>
      <c r="J149" s="298"/>
      <c r="K149" s="298"/>
      <c r="L149" s="298"/>
      <c r="M149" s="298"/>
      <c r="N149" s="299"/>
      <c r="P149" s="300" t="s">
        <v>170</v>
      </c>
      <c r="Q149" s="301"/>
      <c r="R149" s="301"/>
      <c r="S149" s="301"/>
      <c r="T149" s="301"/>
      <c r="U149" s="301"/>
      <c r="V149" s="301"/>
      <c r="W149" s="302"/>
    </row>
    <row r="150" spans="1:25" s="3" customFormat="1" ht="58" x14ac:dyDescent="0.35">
      <c r="A150" s="8" t="s">
        <v>33</v>
      </c>
      <c r="B150" s="8" t="s">
        <v>70</v>
      </c>
      <c r="C150" s="8" t="s">
        <v>71</v>
      </c>
      <c r="D150" s="8" t="s">
        <v>72</v>
      </c>
      <c r="E150" s="8" t="s">
        <v>34</v>
      </c>
      <c r="F150" s="47" t="s">
        <v>73</v>
      </c>
      <c r="G150" s="8" t="s">
        <v>74</v>
      </c>
      <c r="H150" s="10" t="s">
        <v>159</v>
      </c>
      <c r="I150" s="10" t="s">
        <v>75</v>
      </c>
      <c r="J150" s="10" t="s">
        <v>76</v>
      </c>
      <c r="K150" s="10" t="s">
        <v>77</v>
      </c>
      <c r="L150" s="48" t="s">
        <v>78</v>
      </c>
      <c r="M150" s="48" t="s">
        <v>79</v>
      </c>
      <c r="N150" s="48" t="s">
        <v>80</v>
      </c>
      <c r="O150" s="57" t="s">
        <v>91</v>
      </c>
      <c r="P150" s="48" t="s">
        <v>82</v>
      </c>
      <c r="Q150" s="10" t="s">
        <v>157</v>
      </c>
      <c r="R150" s="10" t="s">
        <v>83</v>
      </c>
      <c r="S150" s="10" t="s">
        <v>92</v>
      </c>
      <c r="T150" s="10" t="s">
        <v>85</v>
      </c>
      <c r="U150" s="48" t="s">
        <v>86</v>
      </c>
      <c r="V150" s="48" t="s">
        <v>87</v>
      </c>
      <c r="W150" s="48" t="s">
        <v>88</v>
      </c>
      <c r="X150" s="48" t="s">
        <v>171</v>
      </c>
      <c r="Y150" s="48" t="s">
        <v>240</v>
      </c>
    </row>
    <row r="151" spans="1:25" s="3" customFormat="1" ht="26" x14ac:dyDescent="0.35">
      <c r="A151" s="43">
        <v>1</v>
      </c>
      <c r="B151" s="58" t="str">
        <f>G90</f>
        <v>Canal C75.75 PRE B-KW 2- 01</v>
      </c>
      <c r="C151" s="130">
        <f>E90</f>
        <v>472</v>
      </c>
      <c r="D151" s="49">
        <f>F90</f>
        <v>4.72</v>
      </c>
      <c r="E151" s="43">
        <f>C90</f>
        <v>6</v>
      </c>
      <c r="F151" s="50">
        <v>11805</v>
      </c>
      <c r="G151" s="50">
        <f>F151*D151</f>
        <v>55719.6</v>
      </c>
      <c r="H151" s="49">
        <f>400*D151</f>
        <v>1888</v>
      </c>
      <c r="I151" s="50">
        <f>300*D151</f>
        <v>1416</v>
      </c>
      <c r="J151" s="49">
        <f>500*D151</f>
        <v>2360</v>
      </c>
      <c r="K151" s="49">
        <f>200*D151</f>
        <v>944</v>
      </c>
      <c r="L151" s="50">
        <f>200*D151</f>
        <v>944</v>
      </c>
      <c r="M151" s="49">
        <f>2%*G151</f>
        <v>1114.3920000000001</v>
      </c>
      <c r="N151" s="51">
        <f>SUM(G151:M151)</f>
        <v>64385.991999999998</v>
      </c>
      <c r="O151" s="131">
        <f>D90</f>
        <v>100</v>
      </c>
      <c r="P151" s="49">
        <f>G151*$O151</f>
        <v>5571960</v>
      </c>
      <c r="Q151" s="49">
        <f t="shared" ref="Q151:V151" si="30">H151*$O151</f>
        <v>188800</v>
      </c>
      <c r="R151" s="49">
        <f t="shared" si="30"/>
        <v>141600</v>
      </c>
      <c r="S151" s="49">
        <f t="shared" si="30"/>
        <v>236000</v>
      </c>
      <c r="T151" s="49">
        <f t="shared" si="30"/>
        <v>94400</v>
      </c>
      <c r="U151" s="49">
        <f t="shared" si="30"/>
        <v>94400</v>
      </c>
      <c r="V151" s="49">
        <f t="shared" si="30"/>
        <v>111439.20000000001</v>
      </c>
      <c r="W151" s="51">
        <f>SUM(P151:V151)</f>
        <v>6438599.2000000002</v>
      </c>
      <c r="X151" s="51">
        <f>W151*80%</f>
        <v>5150879.3600000003</v>
      </c>
      <c r="Y151" s="51">
        <f>W151*20%</f>
        <v>1287719.8400000001</v>
      </c>
    </row>
    <row r="152" spans="1:25" s="3" customFormat="1" x14ac:dyDescent="0.35">
      <c r="A152" s="13"/>
      <c r="B152" s="59"/>
      <c r="C152" s="12">
        <f>SUM(C151)</f>
        <v>472</v>
      </c>
      <c r="D152" s="54"/>
      <c r="E152" s="13"/>
      <c r="F152" s="60"/>
      <c r="G152" s="60"/>
      <c r="H152" s="55"/>
      <c r="I152" s="60"/>
      <c r="J152" s="54"/>
      <c r="K152" s="54"/>
      <c r="P152" s="55">
        <f>SUM(P151)</f>
        <v>5571960</v>
      </c>
      <c r="Q152" s="55">
        <f t="shared" ref="Q152:Y152" si="31">SUM(Q151)</f>
        <v>188800</v>
      </c>
      <c r="R152" s="55">
        <f t="shared" si="31"/>
        <v>141600</v>
      </c>
      <c r="S152" s="55">
        <f t="shared" si="31"/>
        <v>236000</v>
      </c>
      <c r="T152" s="55">
        <f t="shared" si="31"/>
        <v>94400</v>
      </c>
      <c r="U152" s="55">
        <f t="shared" si="31"/>
        <v>94400</v>
      </c>
      <c r="V152" s="55">
        <f t="shared" si="31"/>
        <v>111439.20000000001</v>
      </c>
      <c r="W152" s="55">
        <f t="shared" si="31"/>
        <v>6438599.2000000002</v>
      </c>
      <c r="X152" s="55">
        <f t="shared" si="31"/>
        <v>5150879.3600000003</v>
      </c>
      <c r="Y152" s="55">
        <f t="shared" si="31"/>
        <v>1287719.8400000001</v>
      </c>
    </row>
    <row r="153" spans="1:25" s="3" customFormat="1" x14ac:dyDescent="0.35">
      <c r="A153" s="13"/>
      <c r="B153" s="53"/>
      <c r="C153" s="13"/>
      <c r="D153" s="54"/>
      <c r="E153" s="13"/>
      <c r="F153" s="6"/>
      <c r="G153" s="6"/>
      <c r="H153" s="54"/>
      <c r="I153" s="6"/>
      <c r="J153" s="54"/>
      <c r="K153" s="54"/>
    </row>
    <row r="154" spans="1:25" s="3" customFormat="1" x14ac:dyDescent="0.35">
      <c r="A154" s="45" t="s">
        <v>161</v>
      </c>
      <c r="B154" s="53"/>
      <c r="C154" s="13"/>
      <c r="D154" s="54"/>
      <c r="E154" s="13"/>
      <c r="F154" s="6"/>
      <c r="G154" s="6"/>
      <c r="H154" s="54"/>
      <c r="I154" s="6"/>
      <c r="J154" s="54"/>
      <c r="K154" s="54"/>
    </row>
    <row r="155" spans="1:25" s="3" customFormat="1" x14ac:dyDescent="0.35">
      <c r="B155" s="18"/>
      <c r="C155" s="18"/>
      <c r="D155" s="18"/>
      <c r="E155" s="18"/>
      <c r="F155" s="18"/>
      <c r="G155" s="18"/>
      <c r="H155" s="18"/>
      <c r="I155" s="5"/>
      <c r="J155" s="4"/>
      <c r="K155" s="4"/>
      <c r="L155" s="4"/>
    </row>
    <row r="156" spans="1:25" s="3" customFormat="1" ht="39" x14ac:dyDescent="0.35">
      <c r="B156" s="8" t="s">
        <v>33</v>
      </c>
      <c r="C156" s="8" t="s">
        <v>94</v>
      </c>
      <c r="D156" s="8" t="s">
        <v>95</v>
      </c>
      <c r="E156" s="61" t="s">
        <v>96</v>
      </c>
      <c r="F156" s="10" t="s">
        <v>97</v>
      </c>
      <c r="G156" s="10" t="s">
        <v>98</v>
      </c>
      <c r="I156" s="6"/>
    </row>
    <row r="157" spans="1:25" s="3" customFormat="1" x14ac:dyDescent="0.35">
      <c r="B157" s="43">
        <v>1</v>
      </c>
      <c r="C157" s="46" t="s">
        <v>172</v>
      </c>
      <c r="D157" s="62">
        <f>C109</f>
        <v>0</v>
      </c>
      <c r="E157" s="50">
        <v>11805</v>
      </c>
      <c r="F157" s="63">
        <f>D157*E157*40%</f>
        <v>0</v>
      </c>
      <c r="G157" s="63">
        <f>D157*E157*60%</f>
        <v>0</v>
      </c>
      <c r="H157" s="4"/>
      <c r="I157" s="5"/>
      <c r="J157" s="4"/>
      <c r="K157" s="4"/>
      <c r="L157" s="4"/>
    </row>
    <row r="158" spans="1:25" s="3" customFormat="1" x14ac:dyDescent="0.35">
      <c r="B158" s="43">
        <v>2</v>
      </c>
      <c r="C158" s="46" t="s">
        <v>173</v>
      </c>
      <c r="D158" s="62">
        <f>D109</f>
        <v>0</v>
      </c>
      <c r="E158" s="50">
        <v>11805</v>
      </c>
      <c r="F158" s="63">
        <f t="shared" ref="F158:F163" si="32">D158*E158*40%</f>
        <v>0</v>
      </c>
      <c r="G158" s="63">
        <f t="shared" ref="G158:G163" si="33">D158*E158*60%</f>
        <v>0</v>
      </c>
      <c r="H158" s="4"/>
      <c r="I158" s="5"/>
      <c r="J158" s="4"/>
      <c r="K158" s="4"/>
      <c r="L158" s="4"/>
    </row>
    <row r="159" spans="1:25" s="3" customFormat="1" x14ac:dyDescent="0.35">
      <c r="B159" s="43">
        <v>3</v>
      </c>
      <c r="C159" s="46" t="s">
        <v>174</v>
      </c>
      <c r="D159" s="62">
        <f>C110</f>
        <v>0</v>
      </c>
      <c r="E159" s="50">
        <v>11805</v>
      </c>
      <c r="F159" s="63">
        <f t="shared" si="32"/>
        <v>0</v>
      </c>
      <c r="G159" s="63">
        <f t="shared" si="33"/>
        <v>0</v>
      </c>
      <c r="H159" s="4"/>
      <c r="I159" s="5"/>
      <c r="J159" s="4"/>
      <c r="K159" s="4"/>
      <c r="L159" s="4"/>
    </row>
    <row r="160" spans="1:25" s="3" customFormat="1" x14ac:dyDescent="0.35">
      <c r="B160" s="43">
        <v>4</v>
      </c>
      <c r="C160" s="46" t="s">
        <v>175</v>
      </c>
      <c r="D160" s="62">
        <f>D110</f>
        <v>0</v>
      </c>
      <c r="E160" s="50">
        <v>11805</v>
      </c>
      <c r="F160" s="63">
        <f t="shared" si="32"/>
        <v>0</v>
      </c>
      <c r="G160" s="63">
        <f t="shared" si="33"/>
        <v>0</v>
      </c>
      <c r="H160" s="4"/>
      <c r="I160" s="5"/>
      <c r="J160" s="4"/>
      <c r="K160" s="4"/>
      <c r="L160" s="4"/>
    </row>
    <row r="161" spans="1:12" s="3" customFormat="1" x14ac:dyDescent="0.35">
      <c r="B161" s="43">
        <v>5</v>
      </c>
      <c r="C161" s="46" t="s">
        <v>51</v>
      </c>
      <c r="D161" s="62">
        <f>C105</f>
        <v>48</v>
      </c>
      <c r="E161" s="50">
        <v>11805</v>
      </c>
      <c r="F161" s="63">
        <f t="shared" si="32"/>
        <v>226656</v>
      </c>
      <c r="G161" s="63">
        <f t="shared" si="33"/>
        <v>339984</v>
      </c>
      <c r="H161" s="4"/>
      <c r="I161" s="5"/>
      <c r="J161" s="4"/>
      <c r="K161" s="4"/>
      <c r="L161" s="4"/>
    </row>
    <row r="162" spans="1:12" s="3" customFormat="1" x14ac:dyDescent="0.35">
      <c r="B162" s="43">
        <v>6</v>
      </c>
      <c r="C162" s="46" t="s">
        <v>52</v>
      </c>
      <c r="D162" s="62">
        <f>D105</f>
        <v>0</v>
      </c>
      <c r="E162" s="50">
        <v>11805</v>
      </c>
      <c r="F162" s="63">
        <f t="shared" si="32"/>
        <v>0</v>
      </c>
      <c r="G162" s="63">
        <f t="shared" si="33"/>
        <v>0</v>
      </c>
      <c r="H162" s="4"/>
      <c r="I162" s="5"/>
      <c r="J162" s="4"/>
      <c r="K162" s="4"/>
      <c r="L162" s="4"/>
    </row>
    <row r="163" spans="1:12" s="3" customFormat="1" x14ac:dyDescent="0.35">
      <c r="B163" s="43">
        <v>7</v>
      </c>
      <c r="C163" s="46" t="s">
        <v>48</v>
      </c>
      <c r="D163" s="62">
        <f>E105</f>
        <v>0</v>
      </c>
      <c r="E163" s="50">
        <v>11805</v>
      </c>
      <c r="F163" s="63">
        <f t="shared" si="32"/>
        <v>0</v>
      </c>
      <c r="G163" s="63">
        <f t="shared" si="33"/>
        <v>0</v>
      </c>
      <c r="H163" s="4"/>
      <c r="I163" s="5"/>
      <c r="J163" s="4"/>
      <c r="K163" s="4"/>
      <c r="L163" s="4"/>
    </row>
    <row r="164" spans="1:12" s="3" customFormat="1" x14ac:dyDescent="0.35">
      <c r="C164" s="64"/>
      <c r="E164" s="132" t="s">
        <v>176</v>
      </c>
      <c r="F164" s="68">
        <f>SUM(F157:F163)</f>
        <v>226656</v>
      </c>
      <c r="G164" s="68">
        <f>SUM(G157:G163)</f>
        <v>339984</v>
      </c>
      <c r="H164" s="4"/>
      <c r="I164" s="5"/>
      <c r="J164" s="4"/>
      <c r="K164" s="4"/>
      <c r="L164" s="4"/>
    </row>
    <row r="165" spans="1:12" s="3" customFormat="1" x14ac:dyDescent="0.35">
      <c r="C165" s="64"/>
      <c r="E165" s="132"/>
      <c r="F165" s="68"/>
      <c r="G165" s="68"/>
      <c r="H165" s="4"/>
      <c r="I165" s="5"/>
      <c r="J165" s="4"/>
      <c r="K165" s="4"/>
      <c r="L165" s="4"/>
    </row>
    <row r="166" spans="1:12" s="3" customFormat="1" x14ac:dyDescent="0.35">
      <c r="A166" s="45" t="s">
        <v>41</v>
      </c>
    </row>
    <row r="167" spans="1:12" s="3" customFormat="1" ht="26" x14ac:dyDescent="0.35">
      <c r="A167" s="8" t="s">
        <v>33</v>
      </c>
      <c r="B167" s="8" t="s">
        <v>94</v>
      </c>
      <c r="C167" s="8" t="s">
        <v>95</v>
      </c>
      <c r="D167" s="61" t="s">
        <v>96</v>
      </c>
      <c r="E167" s="10" t="s">
        <v>99</v>
      </c>
    </row>
    <row r="168" spans="1:12" s="3" customFormat="1" x14ac:dyDescent="0.35">
      <c r="A168" s="43">
        <v>1</v>
      </c>
      <c r="B168" s="46">
        <f>C94</f>
        <v>0</v>
      </c>
      <c r="C168" s="44">
        <f>C95</f>
        <v>0</v>
      </c>
      <c r="D168" s="50">
        <v>11805</v>
      </c>
      <c r="E168" s="66">
        <f>C168*D168</f>
        <v>0</v>
      </c>
      <c r="H168" s="18"/>
      <c r="I168" s="5"/>
      <c r="J168" s="4"/>
      <c r="K168" s="4"/>
      <c r="L168" s="4"/>
    </row>
    <row r="169" spans="1:12" s="3" customFormat="1" x14ac:dyDescent="0.35">
      <c r="A169" s="18"/>
      <c r="B169" s="18"/>
      <c r="C169" s="64"/>
      <c r="H169" s="18"/>
      <c r="I169" s="5"/>
      <c r="J169" s="4"/>
      <c r="K169" s="4"/>
      <c r="L169" s="4"/>
    </row>
    <row r="170" spans="1:12" s="3" customFormat="1" x14ac:dyDescent="0.35">
      <c r="A170" s="45" t="s">
        <v>205</v>
      </c>
      <c r="F170" s="55"/>
      <c r="G170" s="5"/>
      <c r="H170" s="4"/>
      <c r="I170" s="5"/>
      <c r="J170" s="4"/>
      <c r="K170" s="4"/>
      <c r="L170" s="4"/>
    </row>
    <row r="171" spans="1:12" s="3" customFormat="1" ht="26" x14ac:dyDescent="0.35">
      <c r="A171" s="8" t="s">
        <v>33</v>
      </c>
      <c r="B171" s="8" t="s">
        <v>94</v>
      </c>
      <c r="C171" s="8" t="s">
        <v>95</v>
      </c>
      <c r="D171" s="61" t="s">
        <v>96</v>
      </c>
      <c r="E171" s="10" t="s">
        <v>99</v>
      </c>
      <c r="F171" s="55"/>
      <c r="G171" s="5"/>
      <c r="H171" s="4"/>
      <c r="I171" s="5"/>
      <c r="J171" s="4"/>
      <c r="K171" s="4"/>
      <c r="L171" s="4"/>
    </row>
    <row r="172" spans="1:12" s="3" customFormat="1" x14ac:dyDescent="0.35">
      <c r="A172" s="43">
        <v>1</v>
      </c>
      <c r="B172" s="46" t="str">
        <f>C99</f>
        <v>(Select Baby Coil)</v>
      </c>
      <c r="C172" s="44">
        <f>C100</f>
        <v>0</v>
      </c>
      <c r="D172" s="50">
        <v>11805</v>
      </c>
      <c r="E172" s="66">
        <f>C172*D172</f>
        <v>0</v>
      </c>
      <c r="F172" s="55"/>
      <c r="G172" s="5"/>
      <c r="H172" s="4"/>
      <c r="I172" s="5"/>
      <c r="J172" s="4"/>
      <c r="K172" s="4"/>
      <c r="L172" s="4"/>
    </row>
    <row r="173" spans="1:12" s="3" customFormat="1" x14ac:dyDescent="0.35">
      <c r="C173" s="64"/>
      <c r="F173" s="55"/>
      <c r="G173" s="5"/>
      <c r="H173" s="4"/>
      <c r="I173" s="5"/>
      <c r="J173" s="4"/>
      <c r="K173" s="4"/>
      <c r="L173" s="4"/>
    </row>
    <row r="174" spans="1:12" s="3" customFormat="1" x14ac:dyDescent="0.35">
      <c r="A174" s="65" t="s">
        <v>100</v>
      </c>
      <c r="C174" s="64"/>
      <c r="F174" s="55"/>
      <c r="G174" s="5"/>
      <c r="H174" s="4"/>
      <c r="I174" s="5"/>
      <c r="J174" s="4"/>
      <c r="K174" s="4"/>
      <c r="L174" s="4"/>
    </row>
    <row r="175" spans="1:12" s="3" customFormat="1" ht="26" x14ac:dyDescent="0.35">
      <c r="A175" s="8" t="s">
        <v>33</v>
      </c>
      <c r="B175" s="8" t="s">
        <v>94</v>
      </c>
      <c r="C175" s="8" t="s">
        <v>95</v>
      </c>
      <c r="D175" s="10" t="s">
        <v>96</v>
      </c>
      <c r="E175" s="10" t="s">
        <v>99</v>
      </c>
      <c r="F175" s="55"/>
      <c r="G175" s="5"/>
      <c r="H175" s="4"/>
      <c r="I175" s="5"/>
      <c r="J175" s="4"/>
      <c r="K175" s="4"/>
      <c r="L175" s="4"/>
    </row>
    <row r="176" spans="1:12" s="3" customFormat="1" x14ac:dyDescent="0.35">
      <c r="A176" s="43">
        <v>1</v>
      </c>
      <c r="B176" s="67" t="s">
        <v>100</v>
      </c>
      <c r="C176" s="62">
        <f>L117</f>
        <v>-32.5</v>
      </c>
      <c r="D176" s="50">
        <v>11805</v>
      </c>
      <c r="E176" s="51">
        <f>C176*D176</f>
        <v>-383662.5</v>
      </c>
      <c r="F176" s="55"/>
      <c r="G176" s="5"/>
      <c r="H176" s="4"/>
      <c r="I176" s="5"/>
      <c r="J176" s="4"/>
      <c r="K176" s="4"/>
      <c r="L176" s="4"/>
    </row>
    <row r="178" spans="1:13" x14ac:dyDescent="0.35">
      <c r="A178" s="295" t="s">
        <v>101</v>
      </c>
      <c r="B178" s="295"/>
      <c r="C178" s="295"/>
      <c r="D178" s="295"/>
      <c r="E178" s="295"/>
      <c r="F178" s="295"/>
      <c r="G178" s="295"/>
      <c r="H178" s="295"/>
      <c r="I178" s="295"/>
      <c r="J178" s="295"/>
    </row>
    <row r="180" spans="1:13" s="137" customFormat="1" x14ac:dyDescent="0.35">
      <c r="A180" s="288" t="s">
        <v>33</v>
      </c>
      <c r="B180" s="288" t="s">
        <v>177</v>
      </c>
      <c r="C180" s="288" t="s">
        <v>178</v>
      </c>
      <c r="D180" s="288" t="s">
        <v>179</v>
      </c>
      <c r="E180" s="289" t="s">
        <v>101</v>
      </c>
      <c r="F180" s="290"/>
      <c r="G180" s="290"/>
      <c r="H180" s="290"/>
      <c r="I180" s="290"/>
    </row>
    <row r="181" spans="1:13" s="137" customFormat="1" x14ac:dyDescent="0.35">
      <c r="A181" s="288"/>
      <c r="B181" s="288"/>
      <c r="C181" s="288"/>
      <c r="D181" s="288"/>
      <c r="E181" s="138" t="s">
        <v>180</v>
      </c>
      <c r="F181" s="138" t="s">
        <v>181</v>
      </c>
      <c r="G181" s="136" t="s">
        <v>182</v>
      </c>
      <c r="H181" s="136" t="s">
        <v>102</v>
      </c>
      <c r="I181" s="136" t="s">
        <v>103</v>
      </c>
    </row>
    <row r="182" spans="1:13" s="137" customFormat="1" x14ac:dyDescent="0.35">
      <c r="A182" s="136"/>
      <c r="B182" s="153"/>
      <c r="C182" s="153"/>
      <c r="D182" s="153"/>
      <c r="E182" s="285" t="s">
        <v>220</v>
      </c>
      <c r="F182" s="286"/>
      <c r="G182" s="287"/>
    </row>
    <row r="183" spans="1:13" s="137" customFormat="1" ht="29" customHeight="1" x14ac:dyDescent="0.35">
      <c r="A183" s="292">
        <v>1</v>
      </c>
      <c r="B183" s="293" t="s">
        <v>183</v>
      </c>
      <c r="C183" s="293"/>
      <c r="D183" s="153"/>
      <c r="E183" s="142">
        <v>1169143</v>
      </c>
      <c r="F183" s="133" t="s">
        <v>207</v>
      </c>
      <c r="G183" s="133" t="s">
        <v>241</v>
      </c>
      <c r="H183" s="149">
        <f>SUM(P138,P146,P152)</f>
        <v>5571960</v>
      </c>
      <c r="I183" s="145"/>
      <c r="J183" s="291" t="s">
        <v>214</v>
      </c>
    </row>
    <row r="184" spans="1:13" s="137" customFormat="1" x14ac:dyDescent="0.35">
      <c r="A184" s="292"/>
      <c r="B184" s="293"/>
      <c r="C184" s="293"/>
      <c r="D184" s="153"/>
      <c r="E184" s="143">
        <v>1169174</v>
      </c>
      <c r="F184" s="133" t="s">
        <v>208</v>
      </c>
      <c r="G184" s="133" t="s">
        <v>242</v>
      </c>
      <c r="H184" s="149">
        <f>SUM(Q138,Q146,Q152)</f>
        <v>188800</v>
      </c>
      <c r="I184" s="145"/>
      <c r="J184" s="291"/>
    </row>
    <row r="185" spans="1:13" s="137" customFormat="1" ht="31" customHeight="1" x14ac:dyDescent="0.35">
      <c r="A185" s="292"/>
      <c r="B185" s="293"/>
      <c r="C185" s="293"/>
      <c r="D185" s="153"/>
      <c r="E185" s="142">
        <v>1169263</v>
      </c>
      <c r="F185" s="133" t="s">
        <v>209</v>
      </c>
      <c r="G185" s="133" t="s">
        <v>243</v>
      </c>
      <c r="H185" s="149">
        <f>SUM(R138,R146,R152)</f>
        <v>141600</v>
      </c>
      <c r="I185" s="145"/>
      <c r="J185" s="291"/>
    </row>
    <row r="186" spans="1:13" s="137" customFormat="1" ht="30" customHeight="1" x14ac:dyDescent="0.35">
      <c r="A186" s="292"/>
      <c r="B186" s="293"/>
      <c r="C186" s="293"/>
      <c r="D186" s="153"/>
      <c r="E186" s="142">
        <v>1169202</v>
      </c>
      <c r="F186" s="133" t="s">
        <v>210</v>
      </c>
      <c r="G186" s="133" t="s">
        <v>244</v>
      </c>
      <c r="H186" s="149">
        <f>SUM(S138,S146,S152)</f>
        <v>236000</v>
      </c>
      <c r="I186" s="145"/>
      <c r="J186" s="291"/>
    </row>
    <row r="187" spans="1:13" s="137" customFormat="1" ht="28.5" customHeight="1" x14ac:dyDescent="0.35">
      <c r="A187" s="292"/>
      <c r="B187" s="293"/>
      <c r="C187" s="293"/>
      <c r="D187" s="153"/>
      <c r="E187" s="142">
        <v>1169233</v>
      </c>
      <c r="F187" s="133" t="s">
        <v>211</v>
      </c>
      <c r="G187" s="133" t="s">
        <v>245</v>
      </c>
      <c r="H187" s="149">
        <f>SUM(T138,T146,T152)</f>
        <v>94400</v>
      </c>
      <c r="I187" s="145"/>
      <c r="J187" s="291"/>
    </row>
    <row r="188" spans="1:13" s="137" customFormat="1" ht="28.5" customHeight="1" x14ac:dyDescent="0.35">
      <c r="A188" s="292"/>
      <c r="B188" s="293"/>
      <c r="C188" s="293"/>
      <c r="D188" s="153"/>
      <c r="E188" s="142">
        <v>1169294</v>
      </c>
      <c r="F188" s="133" t="s">
        <v>212</v>
      </c>
      <c r="G188" s="133" t="s">
        <v>246</v>
      </c>
      <c r="H188" s="149">
        <f>SUM(U138,U146,U152)</f>
        <v>94400</v>
      </c>
      <c r="I188" s="145"/>
      <c r="J188" s="291"/>
    </row>
    <row r="189" spans="1:13" s="137" customFormat="1" x14ac:dyDescent="0.35">
      <c r="A189" s="292"/>
      <c r="B189" s="293"/>
      <c r="C189" s="293"/>
      <c r="D189" s="153"/>
      <c r="E189" s="142">
        <v>1169324</v>
      </c>
      <c r="F189" s="133" t="s">
        <v>213</v>
      </c>
      <c r="G189" s="133" t="s">
        <v>247</v>
      </c>
      <c r="H189" s="149">
        <f>SUM(V138,V146,V152)</f>
        <v>111439.20000000001</v>
      </c>
      <c r="I189" s="145"/>
      <c r="J189" s="291"/>
      <c r="K189" s="173"/>
      <c r="L189" s="174"/>
      <c r="M189" s="174"/>
    </row>
    <row r="190" spans="1:13" s="137" customFormat="1" x14ac:dyDescent="0.35">
      <c r="A190" s="292"/>
      <c r="B190" s="293"/>
      <c r="C190" s="293"/>
      <c r="D190" s="153"/>
      <c r="E190" s="142"/>
      <c r="F190" s="134" t="s">
        <v>215</v>
      </c>
      <c r="G190" s="144"/>
      <c r="H190" s="146"/>
      <c r="I190" s="152">
        <f>SUM(Y146,Y152)</f>
        <v>1287719.8400000001</v>
      </c>
      <c r="J190" s="291"/>
      <c r="K190" s="173"/>
      <c r="L190" s="174"/>
      <c r="M190" s="174"/>
    </row>
    <row r="191" spans="1:13" s="137" customFormat="1" ht="14.5" customHeight="1" x14ac:dyDescent="0.35">
      <c r="A191" s="292"/>
      <c r="B191" s="293"/>
      <c r="C191" s="293"/>
      <c r="D191" s="153"/>
      <c r="E191" s="285" t="s">
        <v>221</v>
      </c>
      <c r="F191" s="286"/>
      <c r="G191" s="287"/>
      <c r="H191" s="155"/>
      <c r="I191" s="156"/>
    </row>
    <row r="192" spans="1:13" s="137" customFormat="1" ht="28.5" customHeight="1" x14ac:dyDescent="0.35">
      <c r="A192" s="292"/>
      <c r="B192" s="293"/>
      <c r="C192" s="293"/>
      <c r="D192" s="153"/>
      <c r="E192" s="142" t="s">
        <v>184</v>
      </c>
      <c r="F192" s="133" t="s">
        <v>185</v>
      </c>
      <c r="G192" s="133" t="s">
        <v>186</v>
      </c>
      <c r="H192" s="146">
        <f>F164</f>
        <v>226656</v>
      </c>
      <c r="I192" s="145"/>
      <c r="J192" s="291" t="s">
        <v>252</v>
      </c>
    </row>
    <row r="193" spans="1:11" s="137" customFormat="1" ht="28.5" customHeight="1" x14ac:dyDescent="0.35">
      <c r="A193" s="292"/>
      <c r="B193" s="293"/>
      <c r="C193" s="293"/>
      <c r="D193" s="153"/>
      <c r="E193" s="142" t="s">
        <v>191</v>
      </c>
      <c r="F193" s="133" t="s">
        <v>192</v>
      </c>
      <c r="G193" s="133" t="s">
        <v>193</v>
      </c>
      <c r="H193" s="146">
        <f>E168</f>
        <v>0</v>
      </c>
      <c r="I193" s="145"/>
      <c r="J193" s="291"/>
    </row>
    <row r="194" spans="1:11" s="137" customFormat="1" ht="28.5" customHeight="1" x14ac:dyDescent="0.35">
      <c r="A194" s="292"/>
      <c r="B194" s="293"/>
      <c r="C194" s="293"/>
      <c r="D194" s="153"/>
      <c r="E194" s="142"/>
      <c r="F194" s="133" t="s">
        <v>206</v>
      </c>
      <c r="G194" s="133"/>
      <c r="H194" s="146">
        <f>E172</f>
        <v>0</v>
      </c>
      <c r="I194" s="145"/>
      <c r="J194" s="291"/>
    </row>
    <row r="195" spans="1:11" s="137" customFormat="1" ht="28.5" customHeight="1" x14ac:dyDescent="0.35">
      <c r="A195" s="292"/>
      <c r="B195" s="293"/>
      <c r="C195" s="293"/>
      <c r="D195" s="153"/>
      <c r="E195" s="142"/>
      <c r="F195" s="134" t="s">
        <v>206</v>
      </c>
      <c r="G195" s="134" t="s">
        <v>273</v>
      </c>
      <c r="H195" s="146"/>
      <c r="I195" s="146">
        <f>D33*F136</f>
        <v>5754937.5</v>
      </c>
      <c r="J195" s="291"/>
    </row>
    <row r="196" spans="1:11" s="137" customFormat="1" ht="28.5" customHeight="1" x14ac:dyDescent="0.35">
      <c r="A196" s="292"/>
      <c r="B196" s="293"/>
      <c r="C196" s="293"/>
      <c r="D196" s="153"/>
      <c r="E196" s="135" t="s">
        <v>191</v>
      </c>
      <c r="F196" s="134" t="s">
        <v>192</v>
      </c>
      <c r="G196" s="134" t="s">
        <v>265</v>
      </c>
      <c r="H196" s="146"/>
      <c r="I196" s="146">
        <v>0</v>
      </c>
      <c r="J196" s="291"/>
    </row>
    <row r="197" spans="1:11" s="137" customFormat="1" ht="28.5" customHeight="1" x14ac:dyDescent="0.35">
      <c r="A197" s="292"/>
      <c r="B197" s="293"/>
      <c r="C197" s="293"/>
      <c r="D197" s="153"/>
      <c r="E197" s="134" t="s">
        <v>195</v>
      </c>
      <c r="F197" s="134" t="s">
        <v>248</v>
      </c>
      <c r="G197" s="134" t="s">
        <v>251</v>
      </c>
      <c r="H197" s="145"/>
      <c r="I197" s="146">
        <f>SUM(D34:D36)*F136</f>
        <v>0</v>
      </c>
      <c r="J197" s="291"/>
    </row>
    <row r="198" spans="1:11" s="137" customFormat="1" x14ac:dyDescent="0.35">
      <c r="A198" s="292"/>
      <c r="B198" s="293"/>
      <c r="C198" s="293"/>
      <c r="D198" s="153"/>
      <c r="E198" s="285" t="s">
        <v>224</v>
      </c>
      <c r="F198" s="286"/>
      <c r="G198" s="287"/>
      <c r="H198" s="155"/>
      <c r="I198" s="156"/>
    </row>
    <row r="199" spans="1:11" s="137" customFormat="1" ht="28.5" customHeight="1" x14ac:dyDescent="0.35">
      <c r="A199" s="292"/>
      <c r="B199" s="293"/>
      <c r="C199" s="293"/>
      <c r="D199" s="153"/>
      <c r="E199" s="142">
        <v>1207129</v>
      </c>
      <c r="F199" s="133" t="s">
        <v>187</v>
      </c>
      <c r="G199" s="133" t="s">
        <v>188</v>
      </c>
      <c r="H199" s="146">
        <f>G164</f>
        <v>339984</v>
      </c>
      <c r="I199" s="145"/>
      <c r="J199" s="291" t="s">
        <v>216</v>
      </c>
    </row>
    <row r="200" spans="1:11" s="137" customFormat="1" ht="28.5" customHeight="1" x14ac:dyDescent="0.35">
      <c r="A200" s="292"/>
      <c r="B200" s="293"/>
      <c r="C200" s="293"/>
      <c r="D200" s="153"/>
      <c r="E200" s="139"/>
      <c r="F200" s="140" t="s">
        <v>194</v>
      </c>
      <c r="G200" s="141"/>
      <c r="H200" s="146">
        <f>SUM(Y146,Y152)</f>
        <v>1287719.8400000001</v>
      </c>
      <c r="I200" s="145"/>
      <c r="J200" s="291"/>
    </row>
    <row r="201" spans="1:11" s="137" customFormat="1" x14ac:dyDescent="0.35">
      <c r="A201" s="292"/>
      <c r="B201" s="293"/>
      <c r="C201" s="293"/>
      <c r="D201" s="157"/>
      <c r="E201" s="285" t="s">
        <v>222</v>
      </c>
      <c r="F201" s="286"/>
      <c r="G201" s="287"/>
      <c r="H201" s="158"/>
      <c r="I201" s="159"/>
      <c r="J201" s="154"/>
    </row>
    <row r="202" spans="1:11" s="137" customFormat="1" ht="28.5" customHeight="1" x14ac:dyDescent="0.35">
      <c r="A202" s="292"/>
      <c r="B202" s="293"/>
      <c r="C202" s="293"/>
      <c r="D202" s="153"/>
      <c r="E202" s="142">
        <v>1936155</v>
      </c>
      <c r="F202" s="133" t="s">
        <v>189</v>
      </c>
      <c r="G202" s="144" t="s">
        <v>190</v>
      </c>
      <c r="H202" s="146"/>
      <c r="I202" s="175">
        <f>ABS(E176)</f>
        <v>383662.5</v>
      </c>
      <c r="J202" s="82" t="s">
        <v>217</v>
      </c>
      <c r="K202" s="137" t="s">
        <v>266</v>
      </c>
    </row>
    <row r="203" spans="1:11" s="137" customFormat="1" x14ac:dyDescent="0.35">
      <c r="A203" s="292"/>
      <c r="B203" s="293"/>
      <c r="C203" s="293"/>
      <c r="D203" s="160"/>
      <c r="E203" s="285" t="s">
        <v>223</v>
      </c>
      <c r="F203" s="286"/>
      <c r="G203" s="287"/>
      <c r="H203" s="161"/>
      <c r="I203" s="162"/>
    </row>
    <row r="204" spans="1:11" s="137" customFormat="1" ht="28.5" customHeight="1" x14ac:dyDescent="0.35">
      <c r="A204" s="292"/>
      <c r="B204" s="293"/>
      <c r="C204" s="293"/>
      <c r="D204" s="153"/>
      <c r="E204" s="135">
        <v>75607</v>
      </c>
      <c r="F204" s="134" t="s">
        <v>196</v>
      </c>
      <c r="G204" s="133"/>
      <c r="H204" s="145"/>
      <c r="I204" s="146">
        <f>SUM(Q138,Q146,Q152)</f>
        <v>188800</v>
      </c>
      <c r="J204" s="249" t="s">
        <v>218</v>
      </c>
    </row>
    <row r="205" spans="1:11" s="137" customFormat="1" ht="28.5" customHeight="1" x14ac:dyDescent="0.35">
      <c r="A205" s="292"/>
      <c r="B205" s="293"/>
      <c r="C205" s="293"/>
      <c r="D205" s="153"/>
      <c r="E205" s="135">
        <v>75610</v>
      </c>
      <c r="F205" s="134" t="s">
        <v>199</v>
      </c>
      <c r="G205" s="133"/>
      <c r="H205" s="145"/>
      <c r="I205" s="146">
        <f>SUM(R138,R146,R152)</f>
        <v>141600</v>
      </c>
      <c r="J205" s="249"/>
    </row>
    <row r="206" spans="1:11" s="137" customFormat="1" ht="28.5" customHeight="1" x14ac:dyDescent="0.35">
      <c r="A206" s="292"/>
      <c r="B206" s="293"/>
      <c r="C206" s="293"/>
      <c r="D206" s="153"/>
      <c r="E206" s="135">
        <v>75608</v>
      </c>
      <c r="F206" s="134" t="s">
        <v>197</v>
      </c>
      <c r="G206" s="133"/>
      <c r="H206" s="145"/>
      <c r="I206" s="146">
        <f>SUM(S138,S146,S152)</f>
        <v>236000</v>
      </c>
      <c r="J206" s="249"/>
    </row>
    <row r="207" spans="1:11" s="137" customFormat="1" ht="28.5" customHeight="1" x14ac:dyDescent="0.35">
      <c r="A207" s="292"/>
      <c r="B207" s="293"/>
      <c r="C207" s="293"/>
      <c r="D207" s="153"/>
      <c r="E207" s="135">
        <v>75609</v>
      </c>
      <c r="F207" s="134" t="s">
        <v>198</v>
      </c>
      <c r="G207" s="133"/>
      <c r="H207" s="145"/>
      <c r="I207" s="146">
        <f>SUM(T138,T146,T152)</f>
        <v>94400</v>
      </c>
      <c r="J207" s="249"/>
    </row>
    <row r="208" spans="1:11" s="137" customFormat="1" ht="24" customHeight="1" x14ac:dyDescent="0.35">
      <c r="A208" s="292"/>
      <c r="B208" s="293"/>
      <c r="C208" s="293"/>
      <c r="D208" s="153"/>
      <c r="E208" s="135">
        <v>75611</v>
      </c>
      <c r="F208" s="134" t="s">
        <v>200</v>
      </c>
      <c r="G208" s="133"/>
      <c r="H208" s="145"/>
      <c r="I208" s="146">
        <f>SUM(U138,U146,U152)</f>
        <v>94400</v>
      </c>
      <c r="J208" s="249"/>
    </row>
    <row r="209" spans="1:10" s="137" customFormat="1" ht="29" x14ac:dyDescent="0.35">
      <c r="A209" s="292"/>
      <c r="B209" s="293"/>
      <c r="C209" s="293"/>
      <c r="D209" s="153"/>
      <c r="E209" s="135">
        <v>75612</v>
      </c>
      <c r="F209" s="134" t="s">
        <v>219</v>
      </c>
      <c r="G209" s="133"/>
      <c r="H209" s="145"/>
      <c r="I209" s="146">
        <f>SUM(V138,V146,V152)</f>
        <v>111439.20000000001</v>
      </c>
      <c r="J209" s="249"/>
    </row>
    <row r="210" spans="1:10" s="137" customFormat="1" ht="24" customHeight="1" x14ac:dyDescent="0.35">
      <c r="A210" s="292"/>
      <c r="B210" s="293"/>
      <c r="C210" s="293"/>
      <c r="D210" s="153"/>
      <c r="E210" s="147"/>
      <c r="F210" s="147"/>
      <c r="G210" s="150"/>
      <c r="H210" s="148">
        <f>SUM(H183:H209)</f>
        <v>8292959.04</v>
      </c>
      <c r="I210" s="148">
        <f>SUM(I183:I209)</f>
        <v>8292959.04</v>
      </c>
      <c r="J210" s="151">
        <f>H210-I210</f>
        <v>0</v>
      </c>
    </row>
    <row r="211" spans="1:10" s="137" customFormat="1" ht="24" customHeight="1" x14ac:dyDescent="0.35">
      <c r="A211" s="292"/>
      <c r="B211" s="293"/>
      <c r="C211" s="293"/>
      <c r="D211" s="153"/>
      <c r="E211" s="142" t="s">
        <v>201</v>
      </c>
      <c r="F211" s="133" t="s">
        <v>202</v>
      </c>
      <c r="G211" s="133"/>
      <c r="H211" s="146">
        <f>SUM(W136:W137,W146,W152)</f>
        <v>6438599.2000000002</v>
      </c>
      <c r="I211" s="145"/>
    </row>
    <row r="212" spans="1:10" s="137" customFormat="1" ht="24" customHeight="1" x14ac:dyDescent="0.35">
      <c r="A212" s="292"/>
      <c r="B212" s="293"/>
      <c r="C212" s="293"/>
      <c r="D212" s="153"/>
      <c r="E212" s="135">
        <v>1169873</v>
      </c>
      <c r="F212" s="134" t="s">
        <v>203</v>
      </c>
      <c r="G212" s="133"/>
      <c r="H212" s="145"/>
      <c r="I212" s="149">
        <f>SUM(H183:H189)</f>
        <v>6438599.2000000002</v>
      </c>
    </row>
    <row r="213" spans="1:10" s="137" customFormat="1" ht="24" customHeight="1" x14ac:dyDescent="0.35">
      <c r="A213" s="292"/>
      <c r="B213" s="293"/>
      <c r="C213" s="293"/>
      <c r="D213" s="153"/>
      <c r="E213" s="147"/>
      <c r="F213" s="147"/>
      <c r="G213" s="150"/>
      <c r="H213" s="148">
        <f>SUM(H211:H212)</f>
        <v>6438599.2000000002</v>
      </c>
      <c r="I213" s="148">
        <f>SUM(I211:I212)</f>
        <v>6438599.2000000002</v>
      </c>
    </row>
  </sheetData>
  <mergeCells count="40">
    <mergeCell ref="A22:L22"/>
    <mergeCell ref="A3:L3"/>
    <mergeCell ref="E6:F6"/>
    <mergeCell ref="G6:H6"/>
    <mergeCell ref="E14:F14"/>
    <mergeCell ref="G14:H14"/>
    <mergeCell ref="P134:W134"/>
    <mergeCell ref="D31:F31"/>
    <mergeCell ref="H31:I31"/>
    <mergeCell ref="C107:E107"/>
    <mergeCell ref="D116:G116"/>
    <mergeCell ref="D117:G117"/>
    <mergeCell ref="G120:I120"/>
    <mergeCell ref="G122:G125"/>
    <mergeCell ref="H122:H125"/>
    <mergeCell ref="I122:I125"/>
    <mergeCell ref="A132:L132"/>
    <mergeCell ref="G134:N134"/>
    <mergeCell ref="A180:A181"/>
    <mergeCell ref="B180:B181"/>
    <mergeCell ref="C180:C181"/>
    <mergeCell ref="D180:D181"/>
    <mergeCell ref="E180:I180"/>
    <mergeCell ref="G141:N141"/>
    <mergeCell ref="P141:W141"/>
    <mergeCell ref="G149:N149"/>
    <mergeCell ref="P149:W149"/>
    <mergeCell ref="A178:J178"/>
    <mergeCell ref="E203:G203"/>
    <mergeCell ref="J204:J209"/>
    <mergeCell ref="E182:G182"/>
    <mergeCell ref="A183:A213"/>
    <mergeCell ref="B183:B213"/>
    <mergeCell ref="C183:C213"/>
    <mergeCell ref="J183:J190"/>
    <mergeCell ref="E191:G191"/>
    <mergeCell ref="J192:J197"/>
    <mergeCell ref="E198:G198"/>
    <mergeCell ref="J199:J200"/>
    <mergeCell ref="E201:G201"/>
  </mergeCell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Flow Pch, Wrh, Prod</vt:lpstr>
      <vt:lpstr>Konsep yang akan dipakai</vt:lpstr>
      <vt:lpstr>Sim unpack,Prod (ada sisa WIP)</vt:lpstr>
      <vt:lpstr>Sim unpack,Prod (sisa WIP) (2)</vt:lpstr>
      <vt:lpstr>Sim unpack,Prod(pakai WIP&amp;utuh)</vt:lpstr>
      <vt:lpstr>Sim unpack,Prod(Di Hold)</vt:lpstr>
      <vt:lpstr>Sim unpack,Prod(Pakai yg Hold)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 Dan</dc:creator>
  <cp:lastModifiedBy>Rama Dan</cp:lastModifiedBy>
  <dcterms:created xsi:type="dcterms:W3CDTF">2026-08-18T09:09:07Z</dcterms:created>
  <dcterms:modified xsi:type="dcterms:W3CDTF">2026-09-21T07:20:52Z</dcterms:modified>
</cp:coreProperties>
</file>