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xzhou\ASU Dropbox\Xuesong Zhou\NVTA\test runs\run_results\09-26\I-10\"/>
    </mc:Choice>
  </mc:AlternateContent>
  <xr:revisionPtr revIDLastSave="0" documentId="13_ncr:1_{208054BB-199A-4CD6-BAD5-5C645BBA1CC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4" i="1"/>
  <c r="Y5" i="1"/>
  <c r="Y6" i="1"/>
  <c r="Y7" i="1"/>
  <c r="Y4" i="1"/>
  <c r="X5" i="1"/>
  <c r="X6" i="1"/>
  <c r="X7" i="1"/>
  <c r="X4" i="1"/>
  <c r="AC4" i="1" s="1"/>
  <c r="AH4" i="1" s="1"/>
  <c r="T5" i="1"/>
  <c r="T6" i="1"/>
  <c r="T7" i="1"/>
  <c r="T4" i="1"/>
  <c r="AC5" i="1"/>
  <c r="AC7" i="1"/>
  <c r="AH7" i="1" s="1"/>
  <c r="AC6" i="1"/>
  <c r="AH6" i="1" s="1"/>
  <c r="Q5" i="1"/>
  <c r="Q6" i="1"/>
  <c r="Q7" i="1"/>
  <c r="Q4" i="1"/>
  <c r="D11" i="1"/>
  <c r="D12" i="1"/>
  <c r="M5" i="1"/>
  <c r="M6" i="1"/>
  <c r="M7" i="1"/>
  <c r="M4" i="1"/>
  <c r="L5" i="1"/>
  <c r="L6" i="1"/>
  <c r="L7" i="1"/>
  <c r="L4" i="1"/>
  <c r="W7" i="1"/>
  <c r="W6" i="1"/>
  <c r="W5" i="1"/>
  <c r="W4" i="1"/>
  <c r="AJ5" i="1" l="1"/>
  <c r="AL5" i="1" s="1"/>
  <c r="AH5" i="1"/>
  <c r="AK5" i="1" s="1"/>
  <c r="AJ4" i="1"/>
  <c r="AL4" i="1" s="1"/>
  <c r="AJ7" i="1"/>
  <c r="AL7" i="1" s="1"/>
  <c r="AJ6" i="1"/>
  <c r="AL6" i="1" s="1"/>
  <c r="AK4" i="1"/>
  <c r="AK7" i="1"/>
  <c r="AK6" i="1"/>
  <c r="Z4" i="1"/>
  <c r="Z6" i="1"/>
  <c r="Z7" i="1"/>
  <c r="Z5" i="1"/>
  <c r="AB5" i="1" l="1"/>
  <c r="AB7" i="1"/>
  <c r="AB6" i="1"/>
  <c r="AB4" i="1"/>
  <c r="AG6" i="1" l="1"/>
  <c r="AD6" i="1"/>
  <c r="AE6" i="1" s="1"/>
  <c r="AG7" i="1"/>
  <c r="AD7" i="1"/>
  <c r="AD5" i="1"/>
  <c r="AE5" i="1" s="1"/>
  <c r="AD4" i="1"/>
  <c r="AF4" i="1" s="1"/>
  <c r="AF7" i="1"/>
  <c r="AE7" i="1"/>
  <c r="AG5" i="1" l="1"/>
  <c r="AE4" i="1"/>
  <c r="AG4" i="1"/>
  <c r="AF6" i="1"/>
  <c r="AF5" i="1"/>
</calcChain>
</file>

<file path=xl/sharedStrings.xml><?xml version="1.0" encoding="utf-8"?>
<sst xmlns="http://schemas.openxmlformats.org/spreadsheetml/2006/main" count="49" uniqueCount="48">
  <si>
    <t>ultimate_capacity</t>
  </si>
  <si>
    <t>c</t>
  </si>
  <si>
    <t>flatness of curve</t>
  </si>
  <si>
    <t>mm</t>
  </si>
  <si>
    <t>critical speed</t>
  </si>
  <si>
    <t>uc</t>
  </si>
  <si>
    <t>critical density</t>
  </si>
  <si>
    <t>dc</t>
  </si>
  <si>
    <t>free flow speed</t>
  </si>
  <si>
    <t>uf</t>
  </si>
  <si>
    <t>alpha</t>
  </si>
  <si>
    <t>beta</t>
  </si>
  <si>
    <t>n</t>
  </si>
  <si>
    <t>link_id</t>
  </si>
  <si>
    <t>Density</t>
  </si>
  <si>
    <t>Flow(mu)</t>
  </si>
  <si>
    <t>travel_time</t>
  </si>
  <si>
    <t>length</t>
  </si>
  <si>
    <t>speed</t>
  </si>
  <si>
    <t>waiting_time</t>
  </si>
  <si>
    <t>demand</t>
  </si>
  <si>
    <t>Queued Demand</t>
  </si>
  <si>
    <t>V/C</t>
  </si>
  <si>
    <t>D/C</t>
  </si>
  <si>
    <t>Gamma</t>
  </si>
  <si>
    <t>t0</t>
  </si>
  <si>
    <t>t2</t>
  </si>
  <si>
    <t>t3</t>
  </si>
  <si>
    <t>t0'</t>
  </si>
  <si>
    <t>t3'</t>
  </si>
  <si>
    <t>s</t>
  </si>
  <si>
    <t>cd</t>
  </si>
  <si>
    <t>cp</t>
  </si>
  <si>
    <t>capacity</t>
  </si>
  <si>
    <t>link_seq</t>
  </si>
  <si>
    <t>VDF_alpha</t>
  </si>
  <si>
    <t>VDF_beta</t>
  </si>
  <si>
    <t>lanes</t>
  </si>
  <si>
    <t>free_speed</t>
  </si>
  <si>
    <t>VDF_cp</t>
  </si>
  <si>
    <t>VDF_cd</t>
  </si>
  <si>
    <t>VDF_n</t>
  </si>
  <si>
    <t>VDF_s</t>
  </si>
  <si>
    <t>volume</t>
  </si>
  <si>
    <t>VDF_plf</t>
  </si>
  <si>
    <t>cutoff_speed</t>
  </si>
  <si>
    <t>P</t>
  </si>
  <si>
    <t>fftt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</si>
</sst>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/>
    <xf numFmtId="2" fontId="1" fillId="2" borderId="1" xfId="0" applyNumberFormat="1" applyFont="1" applyFill="1" applyBorder="1"/>
    <xf numFmtId="2" fontId="0" fillId="0" borderId="1" xfId="0" applyNumberFormat="1" applyBorder="1"/>
    <xf numFmtId="0" fontId="1" fillId="3" borderId="0" xfId="0" applyFont="1" applyFill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2" fontId="1" fillId="0" borderId="0" xfId="0" applyNumberFormat="1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186690</xdr:colOff>
      <xdr:row>20</xdr:row>
      <xdr:rowOff>143693</xdr:rowOff>
    </xdr:from>
    <xdr:to>
      <xdr:col>3</xdr:col>
      <xdr:colOff>390038</xdr:colOff>
      <xdr:row>25</xdr:row>
      <xdr:rowOff>120586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83636-64CD-472F-B227-B7E0BFF8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" y="3953693"/>
          <a:ext cx="1832123" cy="929393"/>
        </a:xfrm>
        <a:prstGeom prst="rect">
          <a:avLst/>
        </a:prstGeom>
      </xdr:spPr>
    </xdr:pic>
    <xdr:clientData/>
  </xdr:twoCellAnchor>
  <xdr:twoCellAnchor editAs="oneCell">
    <xdr:from>
      <xdr:col>20</xdr:col>
      <xdr:colOff>211456</xdr:colOff>
      <xdr:row>15</xdr:row>
      <xdr:rowOff>37578</xdr:rowOff>
    </xdr:from>
    <xdr:to>
      <xdr:col>22</xdr:col>
      <xdr:colOff>419100</xdr:colOff>
      <xdr:row>19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DB66D-5B27-4A53-928A-4196CB809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456" y="2895078"/>
          <a:ext cx="2760344" cy="791097"/>
        </a:xfrm>
        <a:prstGeom prst="rect">
          <a:avLst/>
        </a:prstGeom>
      </xdr:spPr>
    </xdr:pic>
    <xdr:clientData/>
  </xdr:twoCellAnchor>
  <xdr:twoCellAnchor editAs="oneCell">
    <xdr:from>
      <xdr:col>20</xdr:col>
      <xdr:colOff>847182</xdr:colOff>
      <xdr:row>20</xdr:row>
      <xdr:rowOff>95250</xdr:rowOff>
    </xdr:from>
    <xdr:to>
      <xdr:col>22</xdr:col>
      <xdr:colOff>400050</xdr:colOff>
      <xdr:row>23</xdr:row>
      <xdr:rowOff>3013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902831-F642-41AD-9DF7-6FBFE8031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82182" y="3905250"/>
          <a:ext cx="2105568" cy="471643"/>
        </a:xfrm>
        <a:prstGeom prst="rect">
          <a:avLst/>
        </a:prstGeom>
      </xdr:spPr>
    </xdr:pic>
    <xdr:clientData/>
  </xdr:twoCellAnchor>
  <xdr:twoCellAnchor editAs="oneCell">
    <xdr:from>
      <xdr:col>20</xdr:col>
      <xdr:colOff>356298</xdr:colOff>
      <xdr:row>11</xdr:row>
      <xdr:rowOff>125538</xdr:rowOff>
    </xdr:from>
    <xdr:to>
      <xdr:col>22</xdr:col>
      <xdr:colOff>148886</xdr:colOff>
      <xdr:row>14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225A1B-F0C4-4AB7-AE57-005E05A89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91298" y="2221038"/>
          <a:ext cx="2345288" cy="503112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11</xdr:row>
      <xdr:rowOff>47625</xdr:rowOff>
    </xdr:from>
    <xdr:to>
      <xdr:col>25</xdr:col>
      <xdr:colOff>590908</xdr:colOff>
      <xdr:row>15</xdr:row>
      <xdr:rowOff>9626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7468BD-1454-3C88-D33A-801AB55C7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9425" y="2143125"/>
          <a:ext cx="2562583" cy="724001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15</xdr:row>
      <xdr:rowOff>66675</xdr:rowOff>
    </xdr:from>
    <xdr:to>
      <xdr:col>29</xdr:col>
      <xdr:colOff>811</xdr:colOff>
      <xdr:row>20</xdr:row>
      <xdr:rowOff>85861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E653C5-64D8-69E9-EB69-6CC307F7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11325" y="2924175"/>
          <a:ext cx="5811061" cy="971686"/>
        </a:xfrm>
        <a:prstGeom prst="rect">
          <a:avLst/>
        </a:prstGeom>
      </xdr:spPr>
    </xdr:pic>
    <xdr:clientData/>
  </xdr:twoCellAnchor>
  <xdr:twoCellAnchor>
    <xdr:from>
      <xdr:col>22</xdr:col>
      <xdr:colOff>504825</xdr:colOff>
      <xdr:row>21</xdr:row>
      <xdr:rowOff>66675</xdr:rowOff>
    </xdr:from>
    <xdr:to>
      <xdr:col>25</xdr:col>
      <xdr:colOff>743163</xdr:colOff>
      <xdr:row>24</xdr:row>
      <xdr:rowOff>114386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B712BA0-F8B9-0F48-D5C0-290CCF31CD2F}"/>
            </a:ext>
          </a:extLst>
        </xdr:cNvPr>
        <xdr:cNvGrpSpPr/>
      </xdr:nvGrpSpPr>
      <xdr:grpSpPr>
        <a:xfrm>
          <a:off x="16773525" y="3907155"/>
          <a:ext cx="2707218" cy="596351"/>
          <a:chOff x="8115300" y="3781425"/>
          <a:chExt cx="2638638" cy="619211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ECF225A-1131-3642-9DCD-005E11117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229725" y="3781425"/>
            <a:ext cx="1524213" cy="619211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F3B2304-896D-BE8F-FFD3-74614111A9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115300" y="3867150"/>
            <a:ext cx="1762371" cy="495369"/>
          </a:xfrm>
          <a:prstGeom prst="rect">
            <a:avLst/>
          </a:prstGeom>
        </xdr:spPr>
      </xdr:pic>
    </xdr:grpSp>
    <xdr:clientData/>
  </xdr:twoCellAnchor>
  <xdr:twoCellAnchor editAs="oneCell">
    <xdr:from>
      <xdr:col>22</xdr:col>
      <xdr:colOff>333375</xdr:colOff>
      <xdr:row>27</xdr:row>
      <xdr:rowOff>0</xdr:rowOff>
    </xdr:from>
    <xdr:to>
      <xdr:col>27</xdr:col>
      <xdr:colOff>638783</xdr:colOff>
      <xdr:row>37</xdr:row>
      <xdr:rowOff>124108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3590B7-DA07-99E9-69D9-A36111840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54175" y="5143500"/>
          <a:ext cx="4353533" cy="2029108"/>
        </a:xfrm>
        <a:prstGeom prst="rect">
          <a:avLst/>
        </a:prstGeom>
      </xdr:spPr>
    </xdr:pic>
    <xdr:clientData/>
  </xdr:twoCellAnchor>
  <xdr:twoCellAnchor editAs="oneCell">
    <xdr:from>
      <xdr:col>27</xdr:col>
      <xdr:colOff>1019175</xdr:colOff>
      <xdr:row>33</xdr:row>
      <xdr:rowOff>171450</xdr:rowOff>
    </xdr:from>
    <xdr:to>
      <xdr:col>30</xdr:col>
      <xdr:colOff>19361</xdr:colOff>
      <xdr:row>36</xdr:row>
      <xdr:rowOff>171530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CF48F27-814E-1C20-1006-5F9298E90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88100" y="6457950"/>
          <a:ext cx="2229161" cy="571580"/>
        </a:xfrm>
        <a:prstGeom prst="rect">
          <a:avLst/>
        </a:prstGeom>
      </xdr:spPr>
    </xdr:pic>
    <xdr:clientData/>
  </xdr:twoCellAnchor>
  <xdr:twoCellAnchor editAs="oneCell">
    <xdr:from>
      <xdr:col>26</xdr:col>
      <xdr:colOff>257175</xdr:colOff>
      <xdr:row>11</xdr:row>
      <xdr:rowOff>95250</xdr:rowOff>
    </xdr:from>
    <xdr:to>
      <xdr:col>27</xdr:col>
      <xdr:colOff>428767</xdr:colOff>
      <xdr:row>14</xdr:row>
      <xdr:rowOff>95330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9ECCB3-C1A0-0D4B-0950-AFF5456B3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478375" y="2190750"/>
          <a:ext cx="1019317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16"/>
  <sheetViews>
    <sheetView tabSelected="1" topLeftCell="Y1" workbookViewId="0">
      <selection activeCell="AI7" sqref="AI7"/>
    </sheetView>
  </sheetViews>
  <sheetFormatPr defaultRowHeight="14.4" x14ac:dyDescent="0.3"/>
  <cols>
    <col min="2" max="2" width="17.88671875" bestFit="1" customWidth="1"/>
    <col min="3" max="3" width="6.5546875" bestFit="1" customWidth="1"/>
    <col min="7" max="7" width="8.44140625" bestFit="1" customWidth="1"/>
    <col min="8" max="8" width="12" bestFit="1" customWidth="1"/>
    <col min="9" max="9" width="7.5546875" bestFit="1" customWidth="1"/>
    <col min="10" max="10" width="6.6640625" bestFit="1" customWidth="1"/>
    <col min="11" max="11" width="6.44140625" bestFit="1" customWidth="1"/>
    <col min="12" max="13" width="12" bestFit="1" customWidth="1"/>
    <col min="14" max="14" width="7.33203125" customWidth="1"/>
    <col min="15" max="15" width="8.109375" bestFit="1" customWidth="1"/>
    <col min="16" max="16" width="8.109375" customWidth="1"/>
    <col min="17" max="17" width="16.88671875" bestFit="1" customWidth="1"/>
    <col min="18" max="18" width="11.109375" bestFit="1" customWidth="1"/>
    <col min="19" max="20" width="11.109375" customWidth="1"/>
    <col min="21" max="21" width="26.33203125" bestFit="1" customWidth="1"/>
    <col min="22" max="22" width="12" bestFit="1" customWidth="1"/>
    <col min="23" max="26" width="12" customWidth="1"/>
    <col min="27" max="27" width="12.6640625" bestFit="1" customWidth="1"/>
    <col min="28" max="28" width="16.109375" bestFit="1" customWidth="1"/>
    <col min="29" max="30" width="16.109375" customWidth="1"/>
    <col min="31" max="31" width="14.6640625" bestFit="1" customWidth="1"/>
    <col min="32" max="38" width="14.6640625" customWidth="1"/>
  </cols>
  <sheetData>
    <row r="3" spans="2:38" x14ac:dyDescent="0.3">
      <c r="F3" s="4" t="s">
        <v>13</v>
      </c>
      <c r="G3" s="4" t="s">
        <v>34</v>
      </c>
      <c r="H3" t="s">
        <v>39</v>
      </c>
      <c r="I3" t="s">
        <v>40</v>
      </c>
      <c r="J3" t="s">
        <v>41</v>
      </c>
      <c r="K3" t="s">
        <v>42</v>
      </c>
      <c r="L3" t="s">
        <v>35</v>
      </c>
      <c r="M3" t="s">
        <v>36</v>
      </c>
      <c r="N3" t="s">
        <v>17</v>
      </c>
      <c r="O3" t="s">
        <v>33</v>
      </c>
      <c r="P3" t="s">
        <v>37</v>
      </c>
      <c r="Q3" t="s">
        <v>0</v>
      </c>
      <c r="R3" t="s">
        <v>38</v>
      </c>
      <c r="S3" t="s">
        <v>45</v>
      </c>
      <c r="T3" t="s">
        <v>47</v>
      </c>
      <c r="U3" s="7" t="s">
        <v>43</v>
      </c>
      <c r="V3" t="s">
        <v>44</v>
      </c>
      <c r="W3" s="4" t="s">
        <v>20</v>
      </c>
      <c r="X3" s="8" t="s">
        <v>23</v>
      </c>
      <c r="Y3" s="4" t="s">
        <v>18</v>
      </c>
      <c r="Z3" s="4" t="s">
        <v>16</v>
      </c>
      <c r="AA3" s="4" t="s">
        <v>19</v>
      </c>
      <c r="AB3" s="8" t="s">
        <v>21</v>
      </c>
      <c r="AC3" s="8" t="s">
        <v>46</v>
      </c>
      <c r="AD3" s="4" t="s">
        <v>15</v>
      </c>
      <c r="AE3" s="4" t="s">
        <v>14</v>
      </c>
      <c r="AF3" s="8" t="s">
        <v>22</v>
      </c>
      <c r="AG3" s="4" t="s">
        <v>24</v>
      </c>
      <c r="AH3" s="4" t="s">
        <v>25</v>
      </c>
      <c r="AI3" s="9" t="s">
        <v>26</v>
      </c>
      <c r="AJ3" s="4" t="s">
        <v>27</v>
      </c>
      <c r="AK3" s="4" t="s">
        <v>28</v>
      </c>
      <c r="AL3" s="4" t="s">
        <v>29</v>
      </c>
    </row>
    <row r="4" spans="2:38" x14ac:dyDescent="0.3">
      <c r="B4" s="1" t="s">
        <v>0</v>
      </c>
      <c r="C4" s="1" t="s">
        <v>1</v>
      </c>
      <c r="D4" s="2">
        <v>1750</v>
      </c>
      <c r="F4">
        <v>139</v>
      </c>
      <c r="G4" s="4">
        <v>1</v>
      </c>
      <c r="H4">
        <v>0.24</v>
      </c>
      <c r="I4">
        <v>1</v>
      </c>
      <c r="J4">
        <v>1.24</v>
      </c>
      <c r="K4">
        <v>4</v>
      </c>
      <c r="L4">
        <f>(8/15)*I4*H4</f>
        <v>0.128</v>
      </c>
      <c r="M4">
        <f>J4*K4</f>
        <v>4.96</v>
      </c>
      <c r="N4">
        <v>1.1100000000003696</v>
      </c>
      <c r="O4">
        <v>1750</v>
      </c>
      <c r="P4">
        <v>4</v>
      </c>
      <c r="Q4">
        <f>O4*P4</f>
        <v>7000</v>
      </c>
      <c r="R4">
        <v>70</v>
      </c>
      <c r="S4">
        <v>49</v>
      </c>
      <c r="T4">
        <f>N4/R4*60</f>
        <v>0.95142857142888826</v>
      </c>
      <c r="U4">
        <v>7500</v>
      </c>
      <c r="V4" s="3">
        <v>1</v>
      </c>
      <c r="W4" s="4">
        <f>U4/V4</f>
        <v>7500</v>
      </c>
      <c r="X4" s="8">
        <f>U4/Q4</f>
        <v>1.0714285714285714</v>
      </c>
      <c r="Y4" s="10">
        <f>R4/(1+L4*(X4)^M4)</f>
        <v>59.310463478392471</v>
      </c>
      <c r="Z4" s="10">
        <f>N4/Y4</f>
        <v>1.8715078839415176E-2</v>
      </c>
      <c r="AA4" s="4">
        <f>Z4-N4/R4</f>
        <v>2.8579359822670375E-3</v>
      </c>
      <c r="AB4" s="8">
        <f>IF(AA4&gt;0,U4/V4,0)</f>
        <v>7500</v>
      </c>
      <c r="AC4" s="8">
        <f>I4*POWER(X4,J4)</f>
        <v>1.0893172900923793</v>
      </c>
      <c r="AD4" s="4">
        <f>MIN(AB4/AC4/P4,O4)</f>
        <v>1721.2615801232632</v>
      </c>
      <c r="AE4" s="4">
        <f>AD4/Y4</f>
        <v>29.021212770497737</v>
      </c>
      <c r="AF4" s="8">
        <f>AD4/O4</f>
        <v>0.98357804578472185</v>
      </c>
      <c r="AG4" s="4">
        <f>IF(AA4&gt;0,(120*AA4*POWER(AD4,5))/POWER(AB4,4),0)</f>
        <v>1.6376574462321063</v>
      </c>
      <c r="AH4" s="4">
        <f>AI4-(1/2)*AC4</f>
        <v>6.9553413549538101</v>
      </c>
      <c r="AI4" s="11">
        <v>7.5</v>
      </c>
      <c r="AJ4" s="4">
        <f>AI4+(1/2)*AC4</f>
        <v>8.044658645046189</v>
      </c>
      <c r="AK4" s="4">
        <f>IF(AC4=0,AI4-0.5,AH4)</f>
        <v>6.9553413549538101</v>
      </c>
      <c r="AL4" s="4">
        <f>IF(AC4=0,AI4+0.5,AJ4)</f>
        <v>8.044658645046189</v>
      </c>
    </row>
    <row r="5" spans="2:38" x14ac:dyDescent="0.3">
      <c r="B5" s="1" t="s">
        <v>2</v>
      </c>
      <c r="C5" s="1" t="s">
        <v>3</v>
      </c>
      <c r="D5" s="2">
        <v>4.4000000000000004</v>
      </c>
      <c r="F5">
        <v>84</v>
      </c>
      <c r="G5" s="4">
        <v>2</v>
      </c>
      <c r="H5">
        <v>0.24</v>
      </c>
      <c r="I5">
        <v>1</v>
      </c>
      <c r="J5">
        <v>1.24</v>
      </c>
      <c r="K5">
        <v>4</v>
      </c>
      <c r="L5">
        <f t="shared" ref="L5:L7" si="0">(8/15)*I5*H5</f>
        <v>0.128</v>
      </c>
      <c r="M5">
        <f t="shared" ref="M5:M7" si="1">J5*K5</f>
        <v>4.96</v>
      </c>
      <c r="N5">
        <v>1.1399999999996253</v>
      </c>
      <c r="O5">
        <v>1750</v>
      </c>
      <c r="P5">
        <v>4</v>
      </c>
      <c r="Q5">
        <f t="shared" ref="Q5:Q7" si="2">O5*P5</f>
        <v>7000</v>
      </c>
      <c r="R5">
        <v>70</v>
      </c>
      <c r="S5">
        <v>49</v>
      </c>
      <c r="T5">
        <f t="shared" ref="T5:T7" si="3">N5/R5*60</f>
        <v>0.9771428571425359</v>
      </c>
      <c r="U5">
        <v>5500</v>
      </c>
      <c r="V5" s="3">
        <v>1</v>
      </c>
      <c r="W5" s="4">
        <f>U5/V5</f>
        <v>5500</v>
      </c>
      <c r="X5" s="8">
        <f t="shared" ref="X5:X7" si="4">U5/Q5</f>
        <v>0.7857142857142857</v>
      </c>
      <c r="Y5" s="10">
        <f t="shared" ref="Y5:Y7" si="5">R5/(1+L5*(X5)^M5)</f>
        <v>67.391864774260569</v>
      </c>
      <c r="Z5" s="10">
        <f t="shared" ref="Z5:Z7" si="6">N5/Y5</f>
        <v>1.6915988358806078E-2</v>
      </c>
      <c r="AA5" s="4">
        <f t="shared" ref="AA5:AA7" si="7">Z5-N5/R5</f>
        <v>6.302740730971465E-4</v>
      </c>
      <c r="AB5" s="8">
        <f t="shared" ref="AB5:AB7" si="8">IF(AA5&gt;0,U5/V5,0)</f>
        <v>5500</v>
      </c>
      <c r="AC5" s="8">
        <f t="shared" ref="AC5:AC7" si="9">I5*POWER(X5,J5)</f>
        <v>0.74152904286307797</v>
      </c>
      <c r="AD5" s="4">
        <f t="shared" ref="AD5:AD7" si="10">MIN(AB5/AC5/P5,O5)</f>
        <v>1750</v>
      </c>
      <c r="AE5" s="4">
        <f t="shared" ref="AE5:AE7" si="11">AD5/Y5</f>
        <v>25.967525989403832</v>
      </c>
      <c r="AF5" s="8">
        <f t="shared" ref="AF5:AF7" si="12">AD5/O5</f>
        <v>1</v>
      </c>
      <c r="AG5" s="4">
        <f t="shared" ref="AG5:AG7" si="13">IF(AA5&gt;0,(120*AA5*POWER(AD5,5))/POWER(AB5,4),0)</f>
        <v>1.3565948807984096</v>
      </c>
      <c r="AH5" s="4">
        <f t="shared" ref="AH5:AH7" si="14">AI5-(1/2)*AC5</f>
        <v>7.1292354785684608</v>
      </c>
      <c r="AI5" s="11">
        <v>7.5</v>
      </c>
      <c r="AJ5" s="4">
        <f t="shared" ref="AJ5:AJ7" si="15">AI5+(1/2)*AC5</f>
        <v>7.8707645214315392</v>
      </c>
      <c r="AK5" s="4">
        <f t="shared" ref="AK5:AK7" si="16">IF(AC5=0,AI5-0.5,AH5)</f>
        <v>7.1292354785684608</v>
      </c>
      <c r="AL5" s="4">
        <f t="shared" ref="AL5:AL7" si="17">IF(AC5=0,AI5+0.5,AJ5)</f>
        <v>7.8707645214315392</v>
      </c>
    </row>
    <row r="6" spans="2:38" x14ac:dyDescent="0.3">
      <c r="B6" s="1" t="s">
        <v>4</v>
      </c>
      <c r="C6" s="1" t="s">
        <v>5</v>
      </c>
      <c r="D6" s="3">
        <v>51.081803698850621</v>
      </c>
      <c r="F6">
        <v>78</v>
      </c>
      <c r="G6" s="4">
        <v>3</v>
      </c>
      <c r="H6">
        <v>0.24</v>
      </c>
      <c r="I6">
        <v>1</v>
      </c>
      <c r="J6">
        <v>1.24</v>
      </c>
      <c r="K6">
        <v>4</v>
      </c>
      <c r="L6">
        <f t="shared" si="0"/>
        <v>0.128</v>
      </c>
      <c r="M6">
        <f t="shared" si="1"/>
        <v>4.96</v>
      </c>
      <c r="N6">
        <v>1.0400000000005911</v>
      </c>
      <c r="O6">
        <v>1750</v>
      </c>
      <c r="P6">
        <v>4</v>
      </c>
      <c r="Q6">
        <f t="shared" si="2"/>
        <v>7000</v>
      </c>
      <c r="R6">
        <v>70</v>
      </c>
      <c r="S6">
        <v>49</v>
      </c>
      <c r="T6">
        <f t="shared" si="3"/>
        <v>0.89142857142907805</v>
      </c>
      <c r="U6">
        <v>6500</v>
      </c>
      <c r="V6" s="3">
        <v>1</v>
      </c>
      <c r="W6" s="4">
        <f>U6/V6</f>
        <v>6500</v>
      </c>
      <c r="X6" s="8">
        <f t="shared" si="4"/>
        <v>0.9285714285714286</v>
      </c>
      <c r="Y6" s="10">
        <f t="shared" si="5"/>
        <v>64.30108425485767</v>
      </c>
      <c r="Z6" s="10">
        <f t="shared" si="6"/>
        <v>1.6173910783192177E-2</v>
      </c>
      <c r="AA6" s="4">
        <f t="shared" si="7"/>
        <v>1.3167679260408759E-3</v>
      </c>
      <c r="AB6" s="8">
        <f t="shared" si="8"/>
        <v>6500</v>
      </c>
      <c r="AC6" s="8">
        <f t="shared" si="9"/>
        <v>0.91220194228925133</v>
      </c>
      <c r="AD6" s="4">
        <f t="shared" si="10"/>
        <v>1750</v>
      </c>
      <c r="AE6" s="4">
        <f t="shared" si="11"/>
        <v>27.215715260163673</v>
      </c>
      <c r="AF6" s="8">
        <f t="shared" si="12"/>
        <v>1</v>
      </c>
      <c r="AG6" s="4">
        <f t="shared" si="13"/>
        <v>1.452871826942925</v>
      </c>
      <c r="AH6" s="4">
        <f t="shared" si="14"/>
        <v>7.0438990288553747</v>
      </c>
      <c r="AI6" s="11">
        <v>7.5</v>
      </c>
      <c r="AJ6" s="4">
        <f t="shared" si="15"/>
        <v>7.9561009711446253</v>
      </c>
      <c r="AK6" s="4">
        <f t="shared" si="16"/>
        <v>7.0438990288553747</v>
      </c>
      <c r="AL6" s="4">
        <f t="shared" si="17"/>
        <v>7.9561009711446253</v>
      </c>
    </row>
    <row r="7" spans="2:38" x14ac:dyDescent="0.3">
      <c r="B7" s="1" t="s">
        <v>6</v>
      </c>
      <c r="C7" s="1" t="s">
        <v>7</v>
      </c>
      <c r="D7" s="2">
        <v>34.258774618003088</v>
      </c>
      <c r="F7">
        <v>137</v>
      </c>
      <c r="G7" s="4">
        <v>4</v>
      </c>
      <c r="H7">
        <v>0.24</v>
      </c>
      <c r="I7">
        <v>1</v>
      </c>
      <c r="J7">
        <v>1.24</v>
      </c>
      <c r="K7">
        <v>4</v>
      </c>
      <c r="L7">
        <f t="shared" si="0"/>
        <v>0.128</v>
      </c>
      <c r="M7">
        <f t="shared" si="1"/>
        <v>4.96</v>
      </c>
      <c r="N7">
        <v>1.2999999999994865</v>
      </c>
      <c r="O7">
        <v>1750</v>
      </c>
      <c r="P7">
        <v>4</v>
      </c>
      <c r="Q7">
        <f t="shared" si="2"/>
        <v>7000</v>
      </c>
      <c r="R7">
        <v>70</v>
      </c>
      <c r="S7">
        <v>49</v>
      </c>
      <c r="T7">
        <f t="shared" si="3"/>
        <v>1.114285714285274</v>
      </c>
      <c r="U7">
        <v>8500</v>
      </c>
      <c r="V7" s="3">
        <v>1</v>
      </c>
      <c r="W7" s="4">
        <f>U7/V7</f>
        <v>8500</v>
      </c>
      <c r="X7" s="8">
        <f t="shared" si="4"/>
        <v>1.2142857142857142</v>
      </c>
      <c r="Y7" s="10">
        <f t="shared" si="5"/>
        <v>52.422433787315242</v>
      </c>
      <c r="Z7" s="10">
        <f t="shared" si="6"/>
        <v>2.4798543411276148E-2</v>
      </c>
      <c r="AA7" s="4">
        <f t="shared" si="7"/>
        <v>6.2271148398549137E-3</v>
      </c>
      <c r="AB7" s="8">
        <f t="shared" si="8"/>
        <v>8500</v>
      </c>
      <c r="AC7" s="8">
        <f t="shared" si="9"/>
        <v>1.2722073439791741</v>
      </c>
      <c r="AD7" s="4">
        <f t="shared" si="10"/>
        <v>1670.3252107895282</v>
      </c>
      <c r="AE7" s="4">
        <f t="shared" si="11"/>
        <v>31.86279403902266</v>
      </c>
      <c r="AF7" s="8">
        <f t="shared" si="12"/>
        <v>0.95447154902258757</v>
      </c>
      <c r="AG7" s="4">
        <f t="shared" si="13"/>
        <v>1.8612195205933124</v>
      </c>
      <c r="AH7" s="4">
        <f t="shared" si="14"/>
        <v>6.8638963280104131</v>
      </c>
      <c r="AI7" s="11">
        <v>7.5</v>
      </c>
      <c r="AJ7" s="4">
        <f t="shared" si="15"/>
        <v>8.1361036719895878</v>
      </c>
      <c r="AK7" s="4">
        <f t="shared" si="16"/>
        <v>6.8638963280104131</v>
      </c>
      <c r="AL7" s="4">
        <f t="shared" si="17"/>
        <v>8.1361036719895878</v>
      </c>
    </row>
    <row r="8" spans="2:38" x14ac:dyDescent="0.3">
      <c r="B8" s="1" t="s">
        <v>8</v>
      </c>
      <c r="C8" s="1" t="s">
        <v>9</v>
      </c>
      <c r="D8" s="2">
        <v>70</v>
      </c>
    </row>
    <row r="9" spans="2:38" x14ac:dyDescent="0.3">
      <c r="B9" s="1"/>
      <c r="C9" s="1"/>
      <c r="D9" s="1"/>
    </row>
    <row r="10" spans="2:38" x14ac:dyDescent="0.3">
      <c r="B10" s="4"/>
      <c r="C10" s="4"/>
      <c r="D10" s="4"/>
    </row>
    <row r="11" spans="2:38" x14ac:dyDescent="0.3">
      <c r="B11" s="4"/>
      <c r="C11" s="1" t="s">
        <v>10</v>
      </c>
      <c r="D11" s="5">
        <f>(8/15)*D15*D16</f>
        <v>0.53333333333333333</v>
      </c>
    </row>
    <row r="12" spans="2:38" x14ac:dyDescent="0.3">
      <c r="B12" s="4"/>
      <c r="C12" s="1" t="s">
        <v>11</v>
      </c>
      <c r="D12" s="2">
        <f>D14*D13</f>
        <v>1.0754606189194307</v>
      </c>
    </row>
    <row r="13" spans="2:38" x14ac:dyDescent="0.3">
      <c r="C13" s="1" t="s">
        <v>12</v>
      </c>
      <c r="D13" s="6">
        <v>1.4339474918925743</v>
      </c>
    </row>
    <row r="14" spans="2:38" x14ac:dyDescent="0.3">
      <c r="C14" s="1" t="s">
        <v>30</v>
      </c>
      <c r="D14" s="6">
        <v>0.75</v>
      </c>
    </row>
    <row r="15" spans="2:38" x14ac:dyDescent="0.3">
      <c r="C15" s="1" t="s">
        <v>31</v>
      </c>
      <c r="D15" s="6">
        <v>1</v>
      </c>
    </row>
    <row r="16" spans="2:38" x14ac:dyDescent="0.3">
      <c r="C16" s="1" t="s">
        <v>32</v>
      </c>
      <c r="D16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Abbasi (Student)</dc:creator>
  <cp:lastModifiedBy>S Z</cp:lastModifiedBy>
  <dcterms:created xsi:type="dcterms:W3CDTF">2015-06-05T18:17:20Z</dcterms:created>
  <dcterms:modified xsi:type="dcterms:W3CDTF">2024-09-27T03:53:18Z</dcterms:modified>
</cp:coreProperties>
</file>