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FFFFFF"/>
      <sz val="18"/>
    </font>
    <font>
      <name val="Calibri"/>
      <sz val="12"/>
    </font>
    <font>
      <name val="Calibri"/>
      <b val="1"/>
      <sz val="12"/>
    </font>
    <font>
      <b val="1"/>
      <color rgb="000710ba"/>
      <sz val="12"/>
    </font>
    <font>
      <name val="Calibri"/>
      <b val="1"/>
      <color rgb="00FFFFFF"/>
      <sz val="12"/>
    </font>
    <font>
      <b val="1"/>
      <color rgb="000710ba"/>
      <sz val="13"/>
    </font>
    <font>
      <b val="1"/>
      <color rgb="000710ba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1e98a3"/>
        <bgColor rgb="001e98a3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3" fontId="0" fillId="0" borderId="1" pivotButton="0" quotePrefix="0" xfId="0"/>
    <xf numFmtId="2" fontId="0" fillId="0" borderId="1" pivotButton="0" quotePrefix="0" xfId="0"/>
    <xf numFmtId="1" fontId="0" fillId="0" borderId="1" pivotButton="0" quotePrefix="0" xfId="0"/>
    <xf numFmtId="0" fontId="4" fillId="0" borderId="1" pivotButton="0" quotePrefix="0" xfId="0"/>
    <xf numFmtId="3" fontId="4" fillId="0" borderId="1" pivotButton="0" quotePrefix="0" xfId="0"/>
    <xf numFmtId="2" fontId="4" fillId="0" borderId="1" pivotButton="0" quotePrefix="0" xfId="0"/>
    <xf numFmtId="0" fontId="5" fillId="2" borderId="1" pivotButton="0" quotePrefix="0" xfId="0"/>
    <xf numFmtId="1" fontId="4" fillId="0" borderId="1" pivotButton="0" quotePrefix="0" xfId="0"/>
    <xf numFmtId="2" fontId="6" fillId="0" borderId="1" pivotButton="0" quotePrefix="0" xfId="0"/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3" fontId="8" fillId="0" borderId="1" pivotButton="0" quotePrefix="0" xfId="0"/>
    <xf numFmtId="2" fontId="7" fillId="0" borderId="1" pivotButton="0" quotePrefix="0" xfId="0"/>
  </cellXfs>
  <cellStyles count="1">
    <cellStyle name="Normal" xfId="0" builtinId="0" hidden="0"/>
  </cellStyles>
  <dxfs count="1">
    <dxf>
      <font>
        <b val="1"/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4"/>
  <sheetViews>
    <sheetView workbookViewId="0">
      <selection activeCell="A1" sqref="A1"/>
    </sheetView>
  </sheetViews>
  <sheetFormatPr baseColWidth="8" defaultRowHeight="15"/>
  <cols>
    <col width="11" bestFit="1" customWidth="1" min="1" max="1"/>
    <col width="25" customWidth="1" min="2" max="2"/>
    <col width="11" customWidth="1" min="3" max="3"/>
    <col width="11" customWidth="1" min="4" max="4"/>
    <col width="11" customWidth="1" min="5" max="5"/>
    <col width="19" customWidth="1" min="6" max="6"/>
    <col width="19" customWidth="1" min="7" max="7"/>
    <col width="19" customWidth="1" min="8" max="8"/>
    <col width="19" customWidth="1" min="9" max="9"/>
    <col width="10" customWidth="1" min="10" max="10"/>
    <col width="29" customWidth="1" min="11" max="11"/>
    <col width="19" customWidth="1" min="12" max="12"/>
    <col width="17" customWidth="1" min="13" max="13"/>
    <col width="19" customWidth="1" min="14" max="14"/>
    <col width="20" customWidth="1" min="16" max="16"/>
    <col width="15" customWidth="1" min="17" max="17"/>
  </cols>
  <sheetData>
    <row r="1">
      <c r="A1" s="1" t="inlineStr">
        <is>
          <t xml:space="preserve">Energy Statement With Tariff JUN-2024 (Provision) </t>
        </is>
      </c>
    </row>
    <row r="2">
      <c r="A2" s="2" t="inlineStr">
        <is>
          <t>Campus : TPI Avadi</t>
        </is>
      </c>
    </row>
    <row r="3">
      <c r="A3" s="2" t="inlineStr">
        <is>
          <t>User : admin</t>
        </is>
      </c>
    </row>
    <row r="4">
      <c r="A4" s="2" t="inlineStr">
        <is>
          <t>Date&amp;Time : 31-JUL-2024 12:12:30</t>
        </is>
      </c>
    </row>
    <row r="5">
      <c r="A5" s="3" t="inlineStr">
        <is>
          <t>A</t>
        </is>
      </c>
      <c r="B5" s="3" t="inlineStr">
        <is>
          <t>B</t>
        </is>
      </c>
      <c r="C5" s="3" t="inlineStr">
        <is>
          <t>C</t>
        </is>
      </c>
      <c r="D5" s="3" t="inlineStr">
        <is>
          <t>D</t>
        </is>
      </c>
      <c r="E5" s="3" t="inlineStr">
        <is>
          <t>E</t>
        </is>
      </c>
      <c r="F5" s="3" t="inlineStr">
        <is>
          <t>F = B X D</t>
        </is>
      </c>
      <c r="G5" s="3" t="inlineStr">
        <is>
          <t>G = B X E</t>
        </is>
      </c>
      <c r="H5" s="3" t="inlineStr">
        <is>
          <t>H = D - E</t>
        </is>
      </c>
      <c r="I5" s="3" t="inlineStr">
        <is>
          <t>I = F - G</t>
        </is>
      </c>
      <c r="J5" s="3" t="inlineStr">
        <is>
          <t>J</t>
        </is>
      </c>
      <c r="K5" s="3" t="inlineStr">
        <is>
          <t>K = Total units x J</t>
        </is>
      </c>
      <c r="L5" s="3" t="inlineStr">
        <is>
          <t>L = K X D</t>
        </is>
      </c>
      <c r="M5" s="3" t="inlineStr">
        <is>
          <t>M = L-F</t>
        </is>
      </c>
      <c r="N5" s="3" t="inlineStr">
        <is>
          <t>N = M + I</t>
        </is>
      </c>
    </row>
    <row r="6">
      <c r="A6" s="4" t="inlineStr">
        <is>
          <t>Energy Source</t>
        </is>
      </c>
      <c r="B6" s="4" t="inlineStr">
        <is>
          <t>Actual Units</t>
        </is>
      </c>
      <c r="C6" s="4" t="inlineStr">
        <is>
          <t>%</t>
        </is>
      </c>
      <c r="D6" s="4" t="inlineStr">
        <is>
          <t>Rate Per Unit</t>
        </is>
      </c>
      <c r="E6" s="5" t="n"/>
      <c r="F6" s="4" t="inlineStr">
        <is>
          <t xml:space="preserve">Total Amount	</t>
        </is>
      </c>
      <c r="G6" s="5" t="n"/>
      <c r="H6" s="4" t="inlineStr">
        <is>
          <t>Rate Variance</t>
        </is>
      </c>
      <c r="I6" s="5" t="n"/>
      <c r="J6" s="4" t="inlineStr">
        <is>
          <t>Flexed Variance</t>
        </is>
      </c>
      <c r="K6" s="5" t="n"/>
      <c r="L6" s="5" t="n"/>
      <c r="M6" s="5" t="n"/>
      <c r="N6" s="4" t="inlineStr">
        <is>
          <t>Total Variance</t>
        </is>
      </c>
    </row>
    <row r="7">
      <c r="A7" s="4" t="inlineStr">
        <is>
          <t>External</t>
        </is>
      </c>
      <c r="B7" s="4" t="inlineStr"/>
      <c r="C7" s="4" t="inlineStr"/>
      <c r="D7" s="4" t="inlineStr">
        <is>
          <t>Budget</t>
        </is>
      </c>
      <c r="E7" s="4" t="inlineStr">
        <is>
          <t>Actual(Provision)</t>
        </is>
      </c>
      <c r="F7" s="4" t="inlineStr">
        <is>
          <t>Budget</t>
        </is>
      </c>
      <c r="G7" s="4" t="inlineStr">
        <is>
          <t>Actual</t>
        </is>
      </c>
      <c r="H7" s="4" t="inlineStr">
        <is>
          <t>Rate/Unit</t>
        </is>
      </c>
      <c r="I7" s="4" t="inlineStr">
        <is>
          <t>Total Amount</t>
        </is>
      </c>
      <c r="J7" s="4" t="inlineStr">
        <is>
          <t>Bud Mix%</t>
        </is>
      </c>
      <c r="K7" s="4" t="inlineStr">
        <is>
          <t>Flexed Units</t>
        </is>
      </c>
      <c r="L7" s="4" t="inlineStr">
        <is>
          <t>Flexed Amount</t>
        </is>
      </c>
      <c r="M7" s="4" t="inlineStr">
        <is>
          <t>Mix Variance</t>
        </is>
      </c>
      <c r="N7" s="5" t="n"/>
    </row>
    <row r="8">
      <c r="A8" s="5" t="inlineStr">
        <is>
          <t>EB</t>
        </is>
      </c>
      <c r="B8" s="6" t="n">
        <v>5996871</v>
      </c>
      <c r="C8" s="7">
        <f>B8/6070636*100</f>
        <v/>
      </c>
      <c r="D8" s="7" t="n">
        <v>8.630000000000001</v>
      </c>
      <c r="E8" s="7" t="n">
        <v>0</v>
      </c>
      <c r="F8" s="6">
        <f>B8*D8</f>
        <v/>
      </c>
      <c r="G8" s="6">
        <f>B8*E8</f>
        <v/>
      </c>
      <c r="H8" s="7">
        <f>D8-E8</f>
        <v/>
      </c>
      <c r="I8" s="6">
        <f>round(F8-G8,2)</f>
        <v/>
      </c>
      <c r="J8" s="7" t="n">
        <v>9.59</v>
      </c>
      <c r="K8" s="6">
        <f>J8/100*6070636</f>
        <v/>
      </c>
      <c r="L8" s="6">
        <f>round(K8*D8,0)</f>
        <v/>
      </c>
      <c r="M8" s="6">
        <f>round(L8-F8,0)</f>
        <v/>
      </c>
      <c r="N8" s="6">
        <f>round((L8-F8)+(F8-G8),0)</f>
        <v/>
      </c>
    </row>
    <row r="9">
      <c r="A9" s="5" t="inlineStr">
        <is>
          <t>IEX</t>
        </is>
      </c>
      <c r="B9" s="6" t="n">
        <v>0</v>
      </c>
      <c r="C9" s="7">
        <f>B9/6070636*100</f>
        <v/>
      </c>
      <c r="D9" s="7" t="n">
        <v>0</v>
      </c>
      <c r="E9" s="7" t="n">
        <v>0</v>
      </c>
      <c r="F9" s="6">
        <f>B9*D9</f>
        <v/>
      </c>
      <c r="G9" s="6">
        <f>B9*E9</f>
        <v/>
      </c>
      <c r="H9" s="7">
        <f>D9-E9</f>
        <v/>
      </c>
      <c r="I9" s="6">
        <f>round(F9-G9,2)</f>
        <v/>
      </c>
      <c r="J9" s="7" t="n">
        <v>0</v>
      </c>
      <c r="K9" s="6">
        <f>J9/100*6070636</f>
        <v/>
      </c>
      <c r="L9" s="6">
        <f>round(K9*D9,0)</f>
        <v/>
      </c>
      <c r="M9" s="6">
        <f>round(L9-F9,0)</f>
        <v/>
      </c>
      <c r="N9" s="6">
        <f>round((L9-F9)+(F9-G9),0)</f>
        <v/>
      </c>
    </row>
    <row r="10">
      <c r="A10" s="5" t="inlineStr">
        <is>
          <t>WATSUN (WIND + SOLAR)</t>
        </is>
      </c>
      <c r="B10" s="6" t="n">
        <v>0</v>
      </c>
      <c r="C10" s="7">
        <f>B10/6070636*100</f>
        <v/>
      </c>
      <c r="D10" s="7" t="n">
        <v>0</v>
      </c>
      <c r="E10" s="7" t="n">
        <v>0</v>
      </c>
      <c r="F10" s="6">
        <f>B10*D10</f>
        <v/>
      </c>
      <c r="G10" s="6">
        <f>B10*E10</f>
        <v/>
      </c>
      <c r="H10" s="7">
        <f>D10-E10</f>
        <v/>
      </c>
      <c r="I10" s="6">
        <f>round(F10-G10,2)</f>
        <v/>
      </c>
      <c r="J10" s="7" t="n">
        <v>0</v>
      </c>
      <c r="K10" s="6">
        <f>J10/100*6070636</f>
        <v/>
      </c>
      <c r="L10" s="6">
        <f>round(K10*D10,0)</f>
        <v/>
      </c>
      <c r="M10" s="6">
        <f>round(L10-F10,0)</f>
        <v/>
      </c>
      <c r="N10" s="6">
        <f>round((L10-F10)+(F10-G10),0)</f>
        <v/>
      </c>
    </row>
    <row r="11">
      <c r="A11" s="5" t="inlineStr">
        <is>
          <t>DRPL (WIND + SOLAR)</t>
        </is>
      </c>
      <c r="B11" s="6" t="n">
        <v>0</v>
      </c>
      <c r="C11" s="7">
        <f>B11/6070636*100</f>
        <v/>
      </c>
      <c r="D11" s="7" t="n">
        <v>0</v>
      </c>
      <c r="E11" s="7" t="n">
        <v>0</v>
      </c>
      <c r="F11" s="6">
        <f>B11*D11</f>
        <v/>
      </c>
      <c r="G11" s="6">
        <f>B11*E11</f>
        <v/>
      </c>
      <c r="H11" s="7">
        <f>D11-E11</f>
        <v/>
      </c>
      <c r="I11" s="6">
        <f>round(F11-G11,2)</f>
        <v/>
      </c>
      <c r="J11" s="7" t="n">
        <v>0</v>
      </c>
      <c r="K11" s="6">
        <f>J11/100*6070636</f>
        <v/>
      </c>
      <c r="L11" s="6">
        <f>round(K11*D11,0)</f>
        <v/>
      </c>
      <c r="M11" s="6">
        <f>round(L11-F11,0)</f>
        <v/>
      </c>
      <c r="N11" s="6">
        <f>round((L11-F11)+(F11-G11),0)</f>
        <v/>
      </c>
    </row>
    <row r="12">
      <c r="A12" s="5" t="inlineStr">
        <is>
          <t>BARATH WIND</t>
        </is>
      </c>
      <c r="B12" s="6" t="n">
        <v>0</v>
      </c>
      <c r="C12" s="7">
        <f>B12/6070636*100</f>
        <v/>
      </c>
      <c r="D12" s="7" t="n">
        <v>0</v>
      </c>
      <c r="E12" s="7" t="n">
        <v>0</v>
      </c>
      <c r="F12" s="6">
        <f>B12*D12</f>
        <v/>
      </c>
      <c r="G12" s="6">
        <f>B12*E12</f>
        <v/>
      </c>
      <c r="H12" s="7">
        <f>D12-E12</f>
        <v/>
      </c>
      <c r="I12" s="6">
        <f>round(F12-G12,2)</f>
        <v/>
      </c>
      <c r="J12" s="7" t="n">
        <v>0</v>
      </c>
      <c r="K12" s="6">
        <f>J12/100*6070636</f>
        <v/>
      </c>
      <c r="L12" s="6">
        <f>round(K12*D12,0)</f>
        <v/>
      </c>
      <c r="M12" s="6">
        <f>round(L12-F12,0)</f>
        <v/>
      </c>
      <c r="N12" s="6">
        <f>round((L12-F12)+(F12-G12),0)</f>
        <v/>
      </c>
    </row>
    <row r="13">
      <c r="A13" s="5" t="inlineStr">
        <is>
          <t>SEDCO</t>
        </is>
      </c>
      <c r="B13" s="6" t="n">
        <v>0</v>
      </c>
      <c r="C13" s="7">
        <f>B13/6070636*100</f>
        <v/>
      </c>
      <c r="D13" s="7" t="n">
        <v>0</v>
      </c>
      <c r="E13" s="7" t="n">
        <v>0</v>
      </c>
      <c r="F13" s="6">
        <f>B13*D13</f>
        <v/>
      </c>
      <c r="G13" s="6">
        <f>B13*E13</f>
        <v/>
      </c>
      <c r="H13" s="7">
        <f>D13-E13</f>
        <v/>
      </c>
      <c r="I13" s="6">
        <f>round(F13-G13,2)</f>
        <v/>
      </c>
      <c r="J13" s="7" t="n">
        <v>0</v>
      </c>
      <c r="K13" s="6">
        <f>J13/100*6070636</f>
        <v/>
      </c>
      <c r="L13" s="6">
        <f>round(K13*D13,0)</f>
        <v/>
      </c>
      <c r="M13" s="6">
        <f>round(L13-F13,0)</f>
        <v/>
      </c>
      <c r="N13" s="6">
        <f>round((L13-F13)+(F13-G13),0)</f>
        <v/>
      </c>
    </row>
    <row r="14">
      <c r="A14" s="5" t="inlineStr">
        <is>
          <t>RSLD</t>
        </is>
      </c>
      <c r="B14" s="6" t="n">
        <v>0</v>
      </c>
      <c r="C14" s="7">
        <f>B14/6070636*100</f>
        <v/>
      </c>
      <c r="D14" s="7" t="n">
        <v>0</v>
      </c>
      <c r="E14" s="7" t="n">
        <v>0</v>
      </c>
      <c r="F14" s="6">
        <f>B14*D14</f>
        <v/>
      </c>
      <c r="G14" s="6">
        <f>B14*E14</f>
        <v/>
      </c>
      <c r="H14" s="7">
        <f>D14-E14</f>
        <v/>
      </c>
      <c r="I14" s="6">
        <f>round(F14-G14,2)</f>
        <v/>
      </c>
      <c r="J14" s="7" t="n">
        <v>0</v>
      </c>
      <c r="K14" s="6">
        <f>J14/100*6070636</f>
        <v/>
      </c>
      <c r="L14" s="6">
        <f>round(K14*D14,0)</f>
        <v/>
      </c>
      <c r="M14" s="6">
        <f>round(L14-F14,0)</f>
        <v/>
      </c>
      <c r="N14" s="6">
        <f>round((L14-F14)+(F14-G14),0)</f>
        <v/>
      </c>
    </row>
    <row r="15">
      <c r="A15" s="5" t="inlineStr">
        <is>
          <t>EB-METER RENT/CUSTOMER CHARGES</t>
        </is>
      </c>
      <c r="B15" s="6" t="n">
        <v>0</v>
      </c>
      <c r="C15" s="7">
        <f>B15/6070636*100</f>
        <v/>
      </c>
      <c r="D15" s="7" t="n">
        <v>0</v>
      </c>
      <c r="E15" s="7" t="n">
        <v>0</v>
      </c>
      <c r="F15" s="6">
        <f>D15* 1</f>
        <v/>
      </c>
      <c r="G15" s="6">
        <f>E15*1</f>
        <v/>
      </c>
      <c r="H15" s="7">
        <f>D15-E15</f>
        <v/>
      </c>
      <c r="I15" s="6">
        <f>round(F15-G15,2)</f>
        <v/>
      </c>
      <c r="J15" s="7" t="n">
        <v>0</v>
      </c>
      <c r="K15" s="6">
        <f>J15/100*6070636</f>
        <v/>
      </c>
      <c r="L15" s="6">
        <f>round(K15*D15,0)</f>
        <v/>
      </c>
      <c r="M15" s="6" t="n">
        <v>0</v>
      </c>
      <c r="N15" s="6" t="n">
        <v>0</v>
      </c>
    </row>
    <row r="16">
      <c r="A16" s="8" t="inlineStr">
        <is>
          <t>1 MW Solar</t>
        </is>
      </c>
      <c r="B16" s="6" t="n">
        <v>71012</v>
      </c>
      <c r="C16" s="7">
        <f>B16/6070636*100</f>
        <v/>
      </c>
      <c r="D16" s="7" t="n">
        <v>5.15</v>
      </c>
      <c r="E16" s="7" t="n">
        <v>0</v>
      </c>
      <c r="F16" s="6">
        <f>B16*D16</f>
        <v/>
      </c>
      <c r="G16" s="6">
        <f>B16*E16</f>
        <v/>
      </c>
      <c r="H16" s="7">
        <f>D16-E16</f>
        <v/>
      </c>
      <c r="I16" s="6">
        <f>F16-G16</f>
        <v/>
      </c>
      <c r="J16" s="7" t="n">
        <v>1.77</v>
      </c>
      <c r="K16" s="6">
        <f>J16/100*6070636</f>
        <v/>
      </c>
      <c r="L16" s="6">
        <f>K16*D16</f>
        <v/>
      </c>
      <c r="M16" s="6">
        <f>L16-F16</f>
        <v/>
      </c>
      <c r="N16" s="6">
        <f>round((L16-F16)+(F16-G16),0)</f>
        <v/>
      </c>
    </row>
    <row r="17">
      <c r="A17" s="8" t="inlineStr">
        <is>
          <t>140KW SOLAR</t>
        </is>
      </c>
      <c r="B17" s="6" t="n">
        <v>2019</v>
      </c>
      <c r="C17" s="7">
        <f>B17/6070636*100</f>
        <v/>
      </c>
      <c r="D17" s="7" t="n">
        <v>0</v>
      </c>
      <c r="E17" s="7" t="n">
        <v>0</v>
      </c>
      <c r="F17" s="6">
        <f>B17*D17</f>
        <v/>
      </c>
      <c r="G17" s="6">
        <f>B17*E17</f>
        <v/>
      </c>
      <c r="H17" s="7">
        <f>D17-E17</f>
        <v/>
      </c>
      <c r="I17" s="6">
        <f>F17-G17</f>
        <v/>
      </c>
      <c r="J17" s="7" t="n">
        <v>0</v>
      </c>
      <c r="K17" s="6">
        <f>J17/100*6070636</f>
        <v/>
      </c>
      <c r="L17" s="6">
        <f>K17*D17</f>
        <v/>
      </c>
      <c r="M17" s="6">
        <f>L17-F17</f>
        <v/>
      </c>
      <c r="N17" s="6">
        <f>round((L17-F17)+(F17-G17),0)</f>
        <v/>
      </c>
    </row>
    <row r="18">
      <c r="A18" s="9" t="inlineStr">
        <is>
          <t>External Total</t>
        </is>
      </c>
      <c r="B18" s="10" t="n">
        <v>6069902</v>
      </c>
      <c r="C18" s="11">
        <f>B18/6070636*100</f>
        <v/>
      </c>
      <c r="D18" s="11">
        <f>SUM(F18/B18)</f>
        <v/>
      </c>
      <c r="E18" s="11">
        <f>SUM(G18/B18)</f>
        <v/>
      </c>
      <c r="F18" s="10">
        <f>SUM(F8:F17)</f>
        <v/>
      </c>
      <c r="G18" s="10">
        <f>ROUND(SUM(G8:G17),0)</f>
        <v/>
      </c>
      <c r="H18" s="5" t="n"/>
      <c r="I18" s="10">
        <f>ROUND(SUM(I8:I17),0)</f>
        <v/>
      </c>
      <c r="J18" s="11">
        <f>SUM(J8:J17)</f>
        <v/>
      </c>
      <c r="K18" s="10">
        <f>ROUND(SUM(K8:K17),0)</f>
        <v/>
      </c>
      <c r="L18" s="10">
        <f>ROUND(SUM(L8:L17),0)</f>
        <v/>
      </c>
      <c r="M18" s="10">
        <f>ROUND(SUM(M8:M17),0)</f>
        <v/>
      </c>
      <c r="N18" s="10">
        <f>ROUND(SUM(N8:N17),0)</f>
        <v/>
      </c>
    </row>
    <row r="19">
      <c r="A19" s="12" t="inlineStr">
        <is>
          <t>Internal</t>
        </is>
      </c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8" t="inlineStr">
        <is>
          <t>DG</t>
        </is>
      </c>
      <c r="B20" s="6" t="n">
        <v>734</v>
      </c>
      <c r="C20" s="7">
        <f>B20/6070636*100</f>
        <v/>
      </c>
      <c r="D20" s="7" t="n">
        <v>31.42</v>
      </c>
      <c r="E20" s="7" t="n">
        <v>0</v>
      </c>
      <c r="F20" s="6">
        <f>B20*D20</f>
        <v/>
      </c>
      <c r="G20" s="6">
        <f>B20*E20</f>
        <v/>
      </c>
      <c r="H20" s="7">
        <f>D20-E20</f>
        <v/>
      </c>
      <c r="I20" s="6">
        <f>F20-G20</f>
        <v/>
      </c>
      <c r="J20" s="7" t="n">
        <v>0.16</v>
      </c>
      <c r="K20" s="6">
        <f>J20/100*6070636</f>
        <v/>
      </c>
      <c r="L20" s="6">
        <f>K20*D20</f>
        <v/>
      </c>
      <c r="M20" s="6">
        <f>L20-F20</f>
        <v/>
      </c>
      <c r="N20" s="6">
        <f>round((L20-F20)+(F20-G20),0)</f>
        <v/>
      </c>
    </row>
    <row r="21">
      <c r="A21" s="9" t="inlineStr">
        <is>
          <t>Internal Total</t>
        </is>
      </c>
      <c r="B21" s="13" t="n">
        <v>734</v>
      </c>
      <c r="C21" s="14">
        <f>B21/6070636*100</f>
        <v/>
      </c>
      <c r="D21" s="11">
        <f>SUM(F21/B21)</f>
        <v/>
      </c>
      <c r="E21" s="11">
        <f>SUM(G21/B21)</f>
        <v/>
      </c>
      <c r="F21" s="10">
        <f>ROUND(SUM(F20:F20),0)</f>
        <v/>
      </c>
      <c r="G21" s="10">
        <f>ROUND(SUM(G20:G20),0)</f>
        <v/>
      </c>
      <c r="H21" s="5" t="n"/>
      <c r="I21" s="10">
        <f>ROUND(SUM(I20:I20),0)</f>
        <v/>
      </c>
      <c r="J21" s="11">
        <f>SUM(J20:J20)</f>
        <v/>
      </c>
      <c r="K21" s="10">
        <f>ROUND(SUM(K20:K20),0)</f>
        <v/>
      </c>
      <c r="L21" s="10">
        <f>ROUND(SUM(L20:L20),0)</f>
        <v/>
      </c>
      <c r="M21" s="10">
        <f>ROUND(SUM(M20:M20),0)</f>
        <v/>
      </c>
      <c r="N21" s="10">
        <f>ROUND(SUM(N20:N20),0)</f>
        <v/>
      </c>
    </row>
    <row r="22">
      <c r="A22" s="9" t="inlineStr">
        <is>
          <t>Grand Total</t>
        </is>
      </c>
      <c r="B22" s="10">
        <f>6070636</f>
        <v/>
      </c>
      <c r="C22" s="11">
        <f>B22/6070636*100</f>
        <v/>
      </c>
      <c r="D22" s="11">
        <f>SUM(F22/B22)</f>
        <v/>
      </c>
      <c r="E22" s="11">
        <f>SUM(G22/B22)</f>
        <v/>
      </c>
      <c r="F22" s="10">
        <f>F18+F21</f>
        <v/>
      </c>
      <c r="G22" s="10">
        <f>G18+G21</f>
        <v/>
      </c>
      <c r="H22" s="5" t="n"/>
      <c r="I22" s="10">
        <f>I18+I21</f>
        <v/>
      </c>
      <c r="J22" s="11">
        <f>J18+J21</f>
        <v/>
      </c>
      <c r="K22" s="10">
        <f>round(k18+k21,0)</f>
        <v/>
      </c>
      <c r="L22" s="10">
        <f>round(L18+L21,0)</f>
        <v/>
      </c>
      <c r="M22" s="10">
        <f>round(M18+M21,0)</f>
        <v/>
      </c>
      <c r="N22" s="10">
        <f>round(N18+N21,0)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10" t="inlineStr">
        <is>
          <t>FIXED DEMAND</t>
        </is>
      </c>
      <c r="B24" s="10" t="n">
        <v>120</v>
      </c>
      <c r="C24" s="5" t="n"/>
      <c r="D24" s="10" t="n">
        <v>648.9</v>
      </c>
      <c r="E24" s="10" t="n">
        <v>12</v>
      </c>
      <c r="F24" s="10">
        <f>B24*D24</f>
        <v/>
      </c>
      <c r="G24" s="10">
        <f>B24*E24</f>
        <v/>
      </c>
      <c r="H24" s="10">
        <f>D24-E24</f>
        <v/>
      </c>
      <c r="I24" s="10">
        <f>(B24*D24)-(B24*E24)</f>
        <v/>
      </c>
      <c r="J24" s="5" t="n"/>
      <c r="K24" s="10" t="n">
        <v>13000</v>
      </c>
      <c r="L24" s="10">
        <f>K24*D24</f>
        <v/>
      </c>
      <c r="M24" s="10">
        <f>(K24*D24)-(B24*D24)</f>
        <v/>
      </c>
      <c r="N24" s="10">
        <f>((K24*D24)-(B24*D24))+((B24*D24)-(B24*E24))</f>
        <v/>
      </c>
    </row>
    <row r="25"/>
    <row r="26">
      <c r="A26" s="15" t="inlineStr">
        <is>
          <t>Plant</t>
        </is>
      </c>
      <c r="B26" s="15" t="inlineStr">
        <is>
          <t>Reporting Department</t>
        </is>
      </c>
      <c r="C26" s="15" t="inlineStr">
        <is>
          <t>Units (EB+DG)</t>
        </is>
      </c>
      <c r="D26" s="15" t="inlineStr">
        <is>
          <t xml:space="preserve">Utility	</t>
        </is>
      </c>
      <c r="E26" s="5" t="n"/>
      <c r="F26" s="15" t="inlineStr">
        <is>
          <t>Units Variance</t>
        </is>
      </c>
      <c r="G26" s="5" t="n"/>
      <c r="H26" s="15" t="inlineStr">
        <is>
          <t xml:space="preserve">  Total units  </t>
        </is>
      </c>
      <c r="I26" s="15" t="inlineStr">
        <is>
          <t>Dispatch T</t>
        </is>
      </c>
      <c r="J26" s="5" t="n"/>
      <c r="K26" s="5" t="n"/>
      <c r="L26" s="5" t="n"/>
      <c r="M26" s="15" t="inlineStr">
        <is>
          <t>Bud U/T</t>
        </is>
      </c>
      <c r="N26" s="15" t="inlineStr">
        <is>
          <t>Act U/T</t>
        </is>
      </c>
      <c r="O26" s="15" t="inlineStr">
        <is>
          <t xml:space="preserve">  Specific Consumption Variance  </t>
        </is>
      </c>
      <c r="P26" s="5" t="n"/>
      <c r="Q26" s="5" t="n"/>
    </row>
    <row r="27">
      <c r="A27" s="5" t="n"/>
      <c r="B27" s="5" t="n"/>
      <c r="C27" s="5" t="n"/>
      <c r="D27" s="16" t="inlineStr">
        <is>
          <t xml:space="preserve">Units </t>
        </is>
      </c>
      <c r="E27" s="16" t="inlineStr">
        <is>
          <t>%</t>
        </is>
      </c>
      <c r="F27" s="16" t="inlineStr">
        <is>
          <t>Units</t>
        </is>
      </c>
      <c r="G27" s="16" t="inlineStr">
        <is>
          <t>%</t>
        </is>
      </c>
      <c r="H27" s="5" t="n"/>
      <c r="I27" s="16" t="inlineStr">
        <is>
          <t>Cust + WH</t>
        </is>
      </c>
      <c r="J27" s="16" t="inlineStr">
        <is>
          <t>Within Plant</t>
        </is>
      </c>
      <c r="K27" s="16" t="inlineStr">
        <is>
          <t>To Other Plants</t>
        </is>
      </c>
      <c r="L27" s="16" t="inlineStr">
        <is>
          <t>Total</t>
        </is>
      </c>
      <c r="M27" s="5" t="n"/>
      <c r="N27" s="5" t="n"/>
      <c r="O27" s="16" t="inlineStr">
        <is>
          <t>U/T</t>
        </is>
      </c>
      <c r="P27" s="16" t="inlineStr">
        <is>
          <t xml:space="preserve">  Avg Rate/Unit  </t>
        </is>
      </c>
      <c r="Q27" s="16" t="inlineStr">
        <is>
          <t>Total Amount</t>
        </is>
      </c>
    </row>
    <row r="28">
      <c r="A28" s="5" t="inlineStr">
        <is>
          <t>PAH Avadi</t>
        </is>
      </c>
      <c r="B28" s="5" t="inlineStr">
        <is>
          <t>ERW</t>
        </is>
      </c>
      <c r="C28" s="6" t="n">
        <v>916637</v>
      </c>
      <c r="D28" s="6">
        <f>C28/3873103.0*301505.0</f>
        <v/>
      </c>
      <c r="E28" s="7">
        <f>D28/3873103.0*100</f>
        <v/>
      </c>
      <c r="F28" s="6">
        <f>C28/3873103.0*1888410.0</f>
        <v/>
      </c>
      <c r="G28" s="7">
        <f>F28/3873103.0*100</f>
        <v/>
      </c>
      <c r="H28" s="6">
        <f>C28+F28+D28</f>
        <v/>
      </c>
      <c r="I28" s="6" t="n">
        <v>1206</v>
      </c>
      <c r="J28" s="6" t="n">
        <v>0</v>
      </c>
      <c r="K28" s="6" t="n">
        <v>1021</v>
      </c>
      <c r="L28" s="6">
        <f>I28+J28+K28</f>
        <v/>
      </c>
      <c r="M28" s="6" t="n">
        <v>116</v>
      </c>
      <c r="N28" s="6">
        <f>H28/L28</f>
        <v/>
      </c>
      <c r="O28" s="17">
        <f>M28-N28</f>
        <v/>
      </c>
      <c r="P28" s="7">
        <f>round((F18+F21)/6070636,2)</f>
        <v/>
      </c>
      <c r="Q28" s="6">
        <f>L28*O28*P28</f>
        <v/>
      </c>
    </row>
    <row r="29">
      <c r="A29" s="5" t="n"/>
      <c r="B29" s="5" t="inlineStr">
        <is>
          <t>CDW</t>
        </is>
      </c>
      <c r="C29" s="6" t="n">
        <v>859568</v>
      </c>
      <c r="D29" s="6">
        <f>C29/3873103.0*301505.0</f>
        <v/>
      </c>
      <c r="E29" s="7">
        <f>D29/3873103.0*100</f>
        <v/>
      </c>
      <c r="F29" s="6">
        <f>C29/3873103.0*1888410.0</f>
        <v/>
      </c>
      <c r="G29" s="7">
        <f>F29/3873103.0*100</f>
        <v/>
      </c>
      <c r="H29" s="6">
        <f>C29+F29+D29</f>
        <v/>
      </c>
      <c r="I29" s="6" t="n">
        <v>4062</v>
      </c>
      <c r="J29" s="6" t="n">
        <v>0</v>
      </c>
      <c r="K29" s="6" t="n">
        <v>24</v>
      </c>
      <c r="L29" s="6">
        <f>I29+J29+K29</f>
        <v/>
      </c>
      <c r="M29" s="6" t="n">
        <v>220</v>
      </c>
      <c r="N29" s="6">
        <f>H29/L29</f>
        <v/>
      </c>
      <c r="O29" s="17">
        <f>M29-N29</f>
        <v/>
      </c>
      <c r="P29" s="7">
        <f>round((F18+F21)/6070636,2)</f>
        <v/>
      </c>
      <c r="Q29" s="6">
        <f>L29*O29*P29</f>
        <v/>
      </c>
    </row>
    <row r="30">
      <c r="A30" s="5" t="n"/>
      <c r="B30" s="5" t="inlineStr">
        <is>
          <t>TCD</t>
        </is>
      </c>
      <c r="C30" s="6" t="n">
        <v>155435</v>
      </c>
      <c r="D30" s="6">
        <f>C30/3873103.0*301505.0</f>
        <v/>
      </c>
      <c r="E30" s="7">
        <f>D30/3873103.0*100</f>
        <v/>
      </c>
      <c r="F30" s="6">
        <f>C30/3873103.0*1888410.0</f>
        <v/>
      </c>
      <c r="G30" s="7">
        <f>F30/3873103.0*100</f>
        <v/>
      </c>
      <c r="H30" s="6">
        <f>C30+F30+D30</f>
        <v/>
      </c>
      <c r="I30" s="6" t="n">
        <v>1131</v>
      </c>
      <c r="J30" s="6" t="n">
        <v>0</v>
      </c>
      <c r="K30" s="6" t="n">
        <v>0</v>
      </c>
      <c r="L30" s="6">
        <f>I30+J30+K30</f>
        <v/>
      </c>
      <c r="M30" s="6" t="n">
        <v>278</v>
      </c>
      <c r="N30" s="6">
        <f>H30/L30</f>
        <v/>
      </c>
      <c r="O30" s="6">
        <f>M30-N30</f>
        <v/>
      </c>
      <c r="P30" s="7">
        <f>round((F18+F21)/6070636,2)</f>
        <v/>
      </c>
      <c r="Q30" s="6">
        <f>L30*O30*P30</f>
        <v/>
      </c>
    </row>
    <row r="31">
      <c r="A31" s="5" t="n"/>
      <c r="B31" s="9" t="inlineStr">
        <is>
          <t>Total</t>
        </is>
      </c>
      <c r="C31" s="10" t="n">
        <v>1931640</v>
      </c>
      <c r="D31" s="10">
        <f>C31/3873103.0*301505.0</f>
        <v/>
      </c>
      <c r="E31" s="11">
        <f>D31/3873103.0*100</f>
        <v/>
      </c>
      <c r="F31" s="10">
        <f>C31/3873103.0*1888410.0</f>
        <v/>
      </c>
      <c r="G31" s="7">
        <f>F31/3873103.0*100</f>
        <v/>
      </c>
      <c r="H31" s="10">
        <f>C31+F31+D31</f>
        <v/>
      </c>
      <c r="I31" s="5" t="n"/>
      <c r="J31" s="5" t="n"/>
      <c r="K31" s="5" t="n"/>
      <c r="L31" s="5" t="n"/>
      <c r="M31" s="5" t="n"/>
      <c r="N31" s="5" t="n"/>
      <c r="O31" s="5" t="n"/>
      <c r="P31" s="5" t="n"/>
      <c r="Q31" s="10">
        <f>(L28*O28*P28)+(L29*O29*P29)+(L30*O30*P30)</f>
        <v/>
      </c>
    </row>
    <row r="32">
      <c r="A32" s="5" t="inlineStr">
        <is>
          <t>PAE Avadi</t>
        </is>
      </c>
      <c r="B32" s="5" t="inlineStr">
        <is>
          <t>IBP</t>
        </is>
      </c>
      <c r="C32" s="6" t="n">
        <v>883973</v>
      </c>
      <c r="D32" s="6">
        <f>C32/3873103.0*301505.0</f>
        <v/>
      </c>
      <c r="E32" s="7">
        <f>D32/3873103.0*100</f>
        <v/>
      </c>
      <c r="F32" s="6">
        <f>C32/3873103.0*1888410.0</f>
        <v/>
      </c>
      <c r="G32" s="7">
        <f>F32/3873103.0*100</f>
        <v/>
      </c>
      <c r="H32" s="6">
        <f>C32+F32+D32</f>
        <v/>
      </c>
      <c r="I32" s="6" t="n">
        <v>1886</v>
      </c>
      <c r="J32" s="6" t="n">
        <v>0</v>
      </c>
      <c r="K32" s="6" t="n">
        <v>0</v>
      </c>
      <c r="L32" s="6">
        <f>I32+J32+K32</f>
        <v/>
      </c>
      <c r="M32" s="6" t="n">
        <v>390</v>
      </c>
      <c r="N32" s="6">
        <f>H32/L32</f>
        <v/>
      </c>
      <c r="O32" s="17">
        <f>M32-N32</f>
        <v/>
      </c>
      <c r="P32" s="7">
        <f>round((F18+F21)/6070636,2)</f>
        <v/>
      </c>
      <c r="Q32" s="6">
        <f>L32*O32*P32</f>
        <v/>
      </c>
    </row>
    <row r="33">
      <c r="A33" s="5" t="n"/>
      <c r="B33" s="9" t="inlineStr">
        <is>
          <t>Total</t>
        </is>
      </c>
      <c r="C33" s="10" t="n">
        <v>883973</v>
      </c>
      <c r="D33" s="10">
        <f>C33/3873103.0*301505.0</f>
        <v/>
      </c>
      <c r="E33" s="11">
        <f>D33/3873103.0*100</f>
        <v/>
      </c>
      <c r="F33" s="10">
        <f>C33/3873103.0*1888410.0</f>
        <v/>
      </c>
      <c r="G33" s="7">
        <f>F33/3873103.0*100</f>
        <v/>
      </c>
      <c r="H33" s="10">
        <f>C33+F33+D33</f>
        <v/>
      </c>
      <c r="I33" s="5" t="n"/>
      <c r="J33" s="5" t="n"/>
      <c r="K33" s="5" t="n"/>
      <c r="L33" s="5" t="n"/>
      <c r="M33" s="5" t="n"/>
      <c r="N33" s="5" t="n"/>
      <c r="O33" s="5" t="n"/>
      <c r="P33" s="5" t="n"/>
      <c r="Q33" s="10">
        <f>(L32*O32*P32)</f>
        <v/>
      </c>
    </row>
    <row r="34">
      <c r="A34" s="5" t="inlineStr">
        <is>
          <t>SAH AVADI</t>
        </is>
      </c>
      <c r="B34" s="5" t="inlineStr">
        <is>
          <t>NWCRM</t>
        </is>
      </c>
      <c r="C34" s="6" t="n">
        <v>370668</v>
      </c>
      <c r="D34" s="6">
        <f>C34/3873103.0*301505.0</f>
        <v/>
      </c>
      <c r="E34" s="7">
        <f>D34/3873103.0*100</f>
        <v/>
      </c>
      <c r="F34" s="6">
        <f>C34/3873103.0*1888410.0</f>
        <v/>
      </c>
      <c r="G34" s="7">
        <f>F34/3873103.0*100</f>
        <v/>
      </c>
      <c r="H34" s="6">
        <f>C34+F34+D34</f>
        <v/>
      </c>
      <c r="I34" s="6" t="n">
        <v>3811</v>
      </c>
      <c r="J34" s="6" t="n">
        <v>0</v>
      </c>
      <c r="K34" s="6" t="n">
        <v>0</v>
      </c>
      <c r="L34" s="6">
        <f>I34+J34+K34</f>
        <v/>
      </c>
      <c r="M34" s="6" t="n">
        <v>124</v>
      </c>
      <c r="N34" s="6">
        <f>H34/L34</f>
        <v/>
      </c>
      <c r="O34" s="17">
        <f>M34-N34</f>
        <v/>
      </c>
      <c r="P34" s="7">
        <f>round((F18+F21)/6070636,2)</f>
        <v/>
      </c>
      <c r="Q34" s="6">
        <f>L34*O34*P34</f>
        <v/>
      </c>
    </row>
    <row r="35">
      <c r="A35" s="5" t="n"/>
      <c r="B35" s="5" t="inlineStr">
        <is>
          <t>WWCRM</t>
        </is>
      </c>
      <c r="C35" s="6" t="n">
        <v>564716</v>
      </c>
      <c r="D35" s="6">
        <f>C35/3873103.0*301505.0</f>
        <v/>
      </c>
      <c r="E35" s="7">
        <f>D35/3873103.0*100</f>
        <v/>
      </c>
      <c r="F35" s="6">
        <f>C35/3873103.0*1888410.0</f>
        <v/>
      </c>
      <c r="G35" s="7">
        <f>F35/3873103.0*100</f>
        <v/>
      </c>
      <c r="H35" s="6">
        <f>C35+F35+D35</f>
        <v/>
      </c>
      <c r="I35" s="6" t="n">
        <v>5193</v>
      </c>
      <c r="J35" s="6" t="n">
        <v>0</v>
      </c>
      <c r="K35" s="6" t="n">
        <v>0</v>
      </c>
      <c r="L35" s="6">
        <f>I35+J35+K35</f>
        <v/>
      </c>
      <c r="M35" s="6" t="n">
        <v>132</v>
      </c>
      <c r="N35" s="6">
        <f>H35/L35</f>
        <v/>
      </c>
      <c r="O35" s="17">
        <f>M35-N35</f>
        <v/>
      </c>
      <c r="P35" s="7">
        <f>round((F18+F21)/6070636,2)</f>
        <v/>
      </c>
      <c r="Q35" s="6">
        <f>L35*O35*P35</f>
        <v/>
      </c>
    </row>
    <row r="36">
      <c r="A36" s="5" t="n"/>
      <c r="B36" s="5" t="inlineStr">
        <is>
          <t>SSC</t>
        </is>
      </c>
      <c r="C36" s="6" t="n">
        <v>122106</v>
      </c>
      <c r="D36" s="6">
        <f>C36/3873103.0*301505.0</f>
        <v/>
      </c>
      <c r="E36" s="7">
        <f>D36/3873103.0*100</f>
        <v/>
      </c>
      <c r="F36" s="6">
        <f>C36/3873103.0*1888410.0</f>
        <v/>
      </c>
      <c r="G36" s="7">
        <f>F36/3873103.0*100</f>
        <v/>
      </c>
      <c r="H36" s="6">
        <f>C36+F36+D36</f>
        <v/>
      </c>
      <c r="I36" s="6" t="n">
        <v>1225</v>
      </c>
      <c r="J36" s="6" t="n">
        <v>0</v>
      </c>
      <c r="K36" s="6" t="n">
        <v>0</v>
      </c>
      <c r="L36" s="6">
        <f>I36+J36+K36</f>
        <v/>
      </c>
      <c r="M36" s="6" t="n">
        <v>11</v>
      </c>
      <c r="N36" s="6">
        <f>H36/L36</f>
        <v/>
      </c>
      <c r="O36" s="17">
        <f>M36-N36</f>
        <v/>
      </c>
      <c r="P36" s="7">
        <f>round((F18+F21)/6070636,2)</f>
        <v/>
      </c>
      <c r="Q36" s="6">
        <f>L36*O36*P36</f>
        <v/>
      </c>
    </row>
    <row r="37">
      <c r="A37" s="5" t="n"/>
      <c r="B37" s="9" t="inlineStr">
        <is>
          <t>Total</t>
        </is>
      </c>
      <c r="C37" s="10" t="n">
        <v>1057490</v>
      </c>
      <c r="D37" s="10">
        <f>C37/3873103.0*301505.0</f>
        <v/>
      </c>
      <c r="E37" s="18">
        <f>D37/3873103.0*100</f>
        <v/>
      </c>
      <c r="F37" s="10">
        <f>C37/3873103.0*1888410.0</f>
        <v/>
      </c>
      <c r="G37" s="18">
        <f>F37/3873103.0*100</f>
        <v/>
      </c>
      <c r="H37" s="10">
        <f>C37+F37+D37</f>
        <v/>
      </c>
      <c r="I37" s="5" t="n"/>
      <c r="J37" s="5" t="n"/>
      <c r="K37" s="5" t="n"/>
      <c r="L37" s="5" t="n"/>
      <c r="M37" s="5" t="n"/>
      <c r="N37" s="5" t="n"/>
      <c r="O37" s="5" t="n"/>
      <c r="P37" s="5" t="n"/>
      <c r="Q37" s="10">
        <f>(L34*O34*P34)+(L35*O35*P35)+(L36*O36*P36)</f>
        <v/>
      </c>
    </row>
    <row r="38">
      <c r="A38" s="5" t="n"/>
      <c r="B38" s="9" t="inlineStr">
        <is>
          <t>Grand Total</t>
        </is>
      </c>
      <c r="C38" s="10" t="n">
        <v>3873103</v>
      </c>
      <c r="D38" s="10">
        <f>C38/3873103.0*301505.0</f>
        <v/>
      </c>
      <c r="E38" s="18">
        <f>D38/3873103.0*100</f>
        <v/>
      </c>
      <c r="F38" s="10">
        <f>C38/3873103.0*1888410.0</f>
        <v/>
      </c>
      <c r="G38" s="18">
        <f>F38/3873103.0*100</f>
        <v/>
      </c>
      <c r="H38" s="10">
        <f>C38+F38+D38</f>
        <v/>
      </c>
      <c r="I38" s="5" t="n"/>
      <c r="J38" s="5" t="n"/>
      <c r="K38" s="5" t="n"/>
      <c r="L38" s="5" t="n"/>
      <c r="M38" s="5" t="n"/>
      <c r="N38" s="5" t="n"/>
      <c r="O38" s="5" t="n"/>
      <c r="P38" s="5" t="n"/>
      <c r="Q38" s="10">
        <f>(L28*O28*P28)+(L29*O29*P29)+(L30*O30*P30)+(L32*O32*P32)+(L34*O34*P34)+(L35*O35*P35)+(L36*O36*P36)</f>
        <v/>
      </c>
    </row>
    <row r="39">
      <c r="A39" s="5" t="n"/>
      <c r="B39" s="5" t="inlineStr">
        <is>
          <t>CORP R&amp;D</t>
        </is>
      </c>
      <c r="C39" s="5" t="n"/>
      <c r="D39" s="5" t="n"/>
      <c r="E39" s="5" t="n"/>
      <c r="F39" s="5" t="n"/>
      <c r="G39" s="5" t="n"/>
      <c r="H39" s="5">
        <f>7618.0</f>
        <v/>
      </c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</row>
    <row r="40">
      <c r="A40" s="5" t="n"/>
      <c r="B40" s="9" t="inlineStr">
        <is>
          <t>Total</t>
        </is>
      </c>
      <c r="C40" s="5" t="n"/>
      <c r="D40" s="5" t="n"/>
      <c r="E40" s="5" t="n"/>
      <c r="F40" s="5" t="n"/>
      <c r="G40" s="5" t="n"/>
      <c r="H40" s="10" t="n">
        <v>7618</v>
      </c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</row>
    <row r="41">
      <c r="A41" s="5" t="n"/>
      <c r="B41" s="9" t="inlineStr">
        <is>
          <t>Grand Total</t>
        </is>
      </c>
      <c r="C41" s="5" t="n"/>
      <c r="D41" s="5" t="n"/>
      <c r="E41" s="5" t="n"/>
      <c r="F41" s="5" t="n"/>
      <c r="G41" s="5" t="n"/>
      <c r="H41" s="10" t="n">
        <v>6070636</v>
      </c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</row>
    <row r="44">
      <c r="A44" s="15" t="inlineStr">
        <is>
          <t>Account Code</t>
        </is>
      </c>
      <c r="B44" s="15" t="inlineStr">
        <is>
          <t>Description</t>
        </is>
      </c>
      <c r="C44" s="15" t="inlineStr">
        <is>
          <t>Units</t>
        </is>
      </c>
      <c r="D44" s="15" t="inlineStr">
        <is>
          <t>Rate</t>
        </is>
      </c>
      <c r="E44" s="15" t="inlineStr">
        <is>
          <t>Debit Value</t>
        </is>
      </c>
      <c r="F44" s="15" t="inlineStr">
        <is>
          <t>Credit Value</t>
        </is>
      </c>
    </row>
    <row r="45">
      <c r="A45" s="5" t="inlineStr">
        <is>
          <t>401.499.194.440001.211199.999.999</t>
        </is>
      </c>
      <c r="B45" s="5" t="inlineStr">
        <is>
          <t xml:space="preserve">Variable power cost Provision Provided (Tube)
</t>
        </is>
      </c>
      <c r="C45" s="6">
        <f>(H28+H29)-(H28+H29)/H41*B20</f>
        <v/>
      </c>
      <c r="D45" s="7">
        <f>E18</f>
        <v/>
      </c>
      <c r="E45" s="6">
        <f>C45 * D45</f>
        <v/>
      </c>
      <c r="F45" s="5" t="n"/>
    </row>
    <row r="46">
      <c r="A46" s="5" t="inlineStr">
        <is>
          <t>401.499.194.440001.211199.999.999</t>
        </is>
      </c>
      <c r="B46" s="5" t="inlineStr">
        <is>
          <t xml:space="preserve">Variable power cost Provision Provided (TCD)
</t>
        </is>
      </c>
      <c r="C46" s="6">
        <f>(H30)-(H30)/H41*B20</f>
        <v/>
      </c>
      <c r="D46" s="7">
        <f>E18</f>
        <v/>
      </c>
      <c r="E46" s="6">
        <f>C46 * D46</f>
        <v/>
      </c>
      <c r="F46" s="5" t="n"/>
    </row>
    <row r="47">
      <c r="A47" s="5" t="inlineStr">
        <is>
          <t>402.402.194.440001.211199.999.999</t>
        </is>
      </c>
      <c r="B47" s="5" t="inlineStr">
        <is>
          <t xml:space="preserve">Variable power cost Provision Provided (Strips- WW/NW)
</t>
        </is>
      </c>
      <c r="C47" s="6">
        <f>(H34+H35)-(H34+H35)/H41*B20</f>
        <v/>
      </c>
      <c r="D47" s="7">
        <f>E18</f>
        <v/>
      </c>
      <c r="E47" s="6">
        <f>C47 * D47</f>
        <v/>
      </c>
      <c r="F47" s="5" t="n"/>
    </row>
    <row r="48">
      <c r="A48" s="5" t="inlineStr">
        <is>
          <t>402.405.194.440001.211199.999.999</t>
        </is>
      </c>
      <c r="B48" s="5" t="inlineStr">
        <is>
          <t xml:space="preserve">Variable power cost Provision Provided (Strips-Service)
</t>
        </is>
      </c>
      <c r="C48" s="6">
        <f>(H36)-(H36)/H41*B20</f>
        <v/>
      </c>
      <c r="D48" s="7">
        <f>E18</f>
        <v/>
      </c>
      <c r="E48" s="6">
        <f>C48 * D48</f>
        <v/>
      </c>
      <c r="F48" s="5" t="n"/>
    </row>
    <row r="49">
      <c r="A49" s="5" t="inlineStr">
        <is>
          <t>201.201.152.440002.999999.999.999</t>
        </is>
      </c>
      <c r="B49" s="5" t="inlineStr">
        <is>
          <t xml:space="preserve">Variable power cost Provision Provided (Corp R &amp; D)
</t>
        </is>
      </c>
      <c r="C49" s="6">
        <f>(H39)-(H39)/H41*B20</f>
        <v/>
      </c>
      <c r="D49" s="7">
        <f>E18</f>
        <v/>
      </c>
      <c r="E49" s="6">
        <f>C49 * D49</f>
        <v/>
      </c>
      <c r="F49" s="5" t="n"/>
    </row>
    <row r="50">
      <c r="A50" s="5" t="inlineStr">
        <is>
          <t>421.404.194.440001.211299.999.999</t>
        </is>
      </c>
      <c r="B50" s="5" t="inlineStr">
        <is>
          <t xml:space="preserve">Variable power cost Provision Provided (IBD)
</t>
        </is>
      </c>
      <c r="C50" s="6">
        <f>(H32)-(H32)/H41*B20</f>
        <v/>
      </c>
      <c r="D50" s="7">
        <f>E18</f>
        <v/>
      </c>
      <c r="E50" s="6">
        <f>C50 * D50</f>
        <v/>
      </c>
      <c r="F50" s="5" t="n"/>
    </row>
    <row r="51">
      <c r="A51" s="5" t="inlineStr">
        <is>
          <t>421.404.194.440002.211299.999.999</t>
        </is>
      </c>
      <c r="B51" s="5" t="inlineStr">
        <is>
          <t xml:space="preserve">Fixed power cost Provision Provided (IBD)
</t>
        </is>
      </c>
      <c r="C51" s="6">
        <f>(H32) / H41 * B24 </f>
        <v/>
      </c>
      <c r="D51" s="8">
        <f>E24</f>
        <v/>
      </c>
      <c r="E51" s="6">
        <f>C51 * D51</f>
        <v/>
      </c>
      <c r="F51" s="5" t="n"/>
    </row>
    <row r="52">
      <c r="A52" s="5" t="inlineStr">
        <is>
          <t>201.201.152.440002.999999.999.999</t>
        </is>
      </c>
      <c r="B52" s="5" t="inlineStr">
        <is>
          <t xml:space="preserve">Fixed power cost Provision Provided (Corp R &amp; D)
</t>
        </is>
      </c>
      <c r="C52" s="6">
        <f>(H39) / H41 * B24 </f>
        <v/>
      </c>
      <c r="D52" s="8">
        <f>E24</f>
        <v/>
      </c>
      <c r="E52" s="6">
        <f>C52 * D52</f>
        <v/>
      </c>
      <c r="F52" s="5" t="n"/>
    </row>
    <row r="53">
      <c r="A53" s="5" t="inlineStr">
        <is>
          <t>402.402.194.440002.211199.999.999</t>
        </is>
      </c>
      <c r="B53" s="5" t="inlineStr">
        <is>
          <t xml:space="preserve">Fixed power cost Provision Provided (Strips- WW/NW)
</t>
        </is>
      </c>
      <c r="C53" s="6">
        <f>(H34+H35+H36) / H41 * B24 </f>
        <v/>
      </c>
      <c r="D53" s="8">
        <f>E24</f>
        <v/>
      </c>
      <c r="E53" s="6">
        <f>C53 * D53</f>
        <v/>
      </c>
      <c r="F53" s="5" t="n"/>
    </row>
    <row r="54">
      <c r="A54" s="5" t="inlineStr">
        <is>
          <t>401.499.194.440002.211199.999.999</t>
        </is>
      </c>
      <c r="B54" s="5" t="inlineStr">
        <is>
          <t xml:space="preserve">Fixed power cost Provision Provided (Tube)
</t>
        </is>
      </c>
      <c r="C54" s="6">
        <f>(H28+H29+H30) / H41 * B24 </f>
        <v/>
      </c>
      <c r="D54" s="8">
        <f>E24</f>
        <v/>
      </c>
      <c r="E54" s="6">
        <f>C54 * D54</f>
        <v/>
      </c>
      <c r="F54" s="5" t="n"/>
    </row>
    <row r="55">
      <c r="A55" s="5" t="inlineStr">
        <is>
          <t>401.499.999.251444.211199.999.999</t>
        </is>
      </c>
      <c r="B55" s="5" t="inlineStr">
        <is>
          <t xml:space="preserve">Power cost / Provision Provided for
</t>
        </is>
      </c>
      <c r="C55" s="5" t="n">
        <v>0</v>
      </c>
      <c r="D55" s="5" t="n"/>
      <c r="E55" s="5" t="n"/>
      <c r="F55" s="6">
        <f>SUM(E45:E54)</f>
        <v/>
      </c>
    </row>
    <row r="56">
      <c r="A56" s="5" t="n"/>
      <c r="B56" s="5" t="n"/>
      <c r="C56" s="5" t="n"/>
      <c r="D56" s="5" t="n"/>
      <c r="E56" s="5" t="n"/>
      <c r="F56" s="5" t="n"/>
    </row>
    <row r="57">
      <c r="A57" s="5" t="inlineStr">
        <is>
          <t>201.201.152.440002.999999.999.999</t>
        </is>
      </c>
      <c r="B57" s="5" t="inlineStr">
        <is>
          <t xml:space="preserve">Power Captive Generation Corp. R&amp;D
</t>
        </is>
      </c>
      <c r="C57" s="6">
        <f>(H39) / H41 * B20 </f>
        <v/>
      </c>
      <c r="D57" s="7">
        <f>E20</f>
        <v/>
      </c>
      <c r="E57" s="6">
        <f>C57 * D57</f>
        <v/>
      </c>
      <c r="F57" s="5" t="n"/>
    </row>
    <row r="58">
      <c r="A58" s="5" t="inlineStr">
        <is>
          <t>421.404.999.440003.211299.999.999</t>
        </is>
      </c>
      <c r="B58" s="5" t="inlineStr">
        <is>
          <t xml:space="preserve">Power Captive Generation IBP
</t>
        </is>
      </c>
      <c r="C58" s="6">
        <f>(H32) / H41 * B20 </f>
        <v/>
      </c>
      <c r="D58" s="7">
        <f>E20</f>
        <v/>
      </c>
      <c r="E58" s="6">
        <f>C58 * D58</f>
        <v/>
      </c>
      <c r="F58" s="5" t="n"/>
    </row>
    <row r="59">
      <c r="A59" s="5" t="inlineStr">
        <is>
          <t>402.402.562.440003.211199.999.999</t>
        </is>
      </c>
      <c r="B59" s="5" t="inlineStr">
        <is>
          <t xml:space="preserve">Power Captive Generation Service Center
</t>
        </is>
      </c>
      <c r="C59" s="6">
        <f>(H36) / H41 * B20 </f>
        <v/>
      </c>
      <c r="D59" s="7">
        <f>E20</f>
        <v/>
      </c>
      <c r="E59" s="6">
        <f>C59 * D59</f>
        <v/>
      </c>
      <c r="F59" s="5" t="n"/>
    </row>
    <row r="60">
      <c r="A60" s="5" t="inlineStr">
        <is>
          <t>402.402.177.440003.211199.999.999</t>
        </is>
      </c>
      <c r="B60" s="5" t="inlineStr">
        <is>
          <t xml:space="preserve">Power Captive Generation N/W &amp; WW
</t>
        </is>
      </c>
      <c r="C60" s="6">
        <f>(H34+H35) / H41 * B20 </f>
        <v/>
      </c>
      <c r="D60" s="7">
        <f>E20</f>
        <v/>
      </c>
      <c r="E60" s="6">
        <f>C60 * D60</f>
        <v/>
      </c>
      <c r="F60" s="5" t="n"/>
    </row>
    <row r="61">
      <c r="A61" s="5" t="inlineStr">
        <is>
          <t>401.499.177.440003.211199.999.999</t>
        </is>
      </c>
      <c r="B61" s="5" t="inlineStr">
        <is>
          <t xml:space="preserve">Power Captive Generation allocation to other units
</t>
        </is>
      </c>
      <c r="C61" s="5" t="n">
        <v>0</v>
      </c>
      <c r="D61" s="5" t="n"/>
      <c r="E61" s="5" t="n"/>
      <c r="F61" s="6">
        <f>SUM(E57:E60)</f>
        <v/>
      </c>
    </row>
    <row r="62">
      <c r="A62" s="5" t="n"/>
      <c r="B62" s="5" t="n"/>
      <c r="C62" s="5" t="n"/>
      <c r="D62" s="5" t="n"/>
      <c r="E62" s="5" t="n"/>
      <c r="F62" s="5" t="n"/>
    </row>
    <row r="63">
      <c r="A63" s="5" t="inlineStr">
        <is>
          <t>401.499.177.440003.211199.999.999</t>
        </is>
      </c>
      <c r="B63" s="5" t="inlineStr">
        <is>
          <t xml:space="preserve">Power Captive Generation tax prov 10 paise per unit
</t>
        </is>
      </c>
      <c r="C63" s="5" t="n">
        <v>0</v>
      </c>
      <c r="D63" s="5" t="n"/>
      <c r="E63" s="7">
        <f>B20*0.1</f>
        <v/>
      </c>
      <c r="F63" s="5" t="n"/>
    </row>
    <row r="64">
      <c r="A64" s="5" t="inlineStr">
        <is>
          <t>401.499.999.251444.211199.999.999</t>
        </is>
      </c>
      <c r="B64" s="5" t="inlineStr">
        <is>
          <t xml:space="preserve">Power Captive Generation tax prov 10 paise per unit
</t>
        </is>
      </c>
      <c r="C64" s="5" t="n">
        <v>0</v>
      </c>
      <c r="D64" s="5" t="n"/>
      <c r="E64" s="5" t="n"/>
      <c r="F64" s="7">
        <f>B20*0.1</f>
        <v/>
      </c>
    </row>
  </sheetData>
  <mergeCells count="10">
    <mergeCell ref="D6:E6"/>
    <mergeCell ref="H6:I6"/>
    <mergeCell ref="I26:L26"/>
    <mergeCell ref="O26:Q26"/>
    <mergeCell ref="F6:G6"/>
    <mergeCell ref="J6:M6"/>
    <mergeCell ref="N6:N7"/>
    <mergeCell ref="F26:G26"/>
    <mergeCell ref="D26:E26"/>
    <mergeCell ref="A1:N1"/>
  </mergeCells>
  <conditionalFormatting sqref="A1:Z400">
    <cfRule type="cellIs" priority="1" operator="lessThan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2024-07-31T06:42:30Z</dcterms:created>
  <dcterms:modified xsi:type="dcterms:W3CDTF">2024-07-31T06:42:31Z</dcterms:modified>
</cp:coreProperties>
</file>