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 ONE\Documents\bioestadistica_adicional\"/>
    </mc:Choice>
  </mc:AlternateContent>
  <xr:revisionPtr revIDLastSave="0" documentId="13_ncr:1_{C7E9C53F-33D1-45E9-8257-0C6FC20ACA17}" xr6:coauthVersionLast="47" xr6:coauthVersionMax="47" xr10:uidLastSave="{00000000-0000-0000-0000-000000000000}"/>
  <bookViews>
    <workbookView xWindow="-20610" yWindow="-120" windowWidth="20730" windowHeight="11160" tabRatio="500" firstSheet="2" activeTab="3" xr2:uid="{00000000-000D-0000-FFFF-FFFF00000000}"/>
  </bookViews>
  <sheets>
    <sheet name="Wilcoxon" sheetId="1" r:id="rId1"/>
    <sheet name="Mann-Whitney" sheetId="2" r:id="rId2"/>
    <sheet name="Mann-Whitney (2)" sheetId="3" r:id="rId3"/>
    <sheet name="Wilcoxon pareado" sheetId="4" r:id="rId4"/>
    <sheet name="Kruskal-Wallis" sheetId="5" r:id="rId5"/>
  </sheets>
  <calcPr calcId="191029" iterateDelta="1E-4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O4" i="5"/>
  <c r="Q4" i="5" s="1"/>
  <c r="R4" i="5" s="1"/>
  <c r="O3" i="5"/>
  <c r="O2" i="5"/>
  <c r="P4" i="5"/>
  <c r="P3" i="5"/>
  <c r="P2" i="5"/>
  <c r="L3" i="5"/>
  <c r="L4" i="5"/>
  <c r="L2" i="5"/>
  <c r="B17" i="5"/>
  <c r="C17" i="5"/>
  <c r="D17" i="5"/>
  <c r="C18" i="5"/>
  <c r="D18" i="5"/>
  <c r="B18" i="5"/>
  <c r="E10" i="4"/>
  <c r="F8" i="4"/>
  <c r="I7" i="4"/>
  <c r="H7" i="4"/>
  <c r="G7" i="4"/>
  <c r="E7" i="4"/>
  <c r="D7" i="4"/>
  <c r="I6" i="4"/>
  <c r="H6" i="4"/>
  <c r="G6" i="4"/>
  <c r="D6" i="4"/>
  <c r="E6" i="4" s="1"/>
  <c r="I5" i="4"/>
  <c r="H5" i="4"/>
  <c r="G5" i="4"/>
  <c r="D5" i="4"/>
  <c r="E5" i="4" s="1"/>
  <c r="I4" i="4"/>
  <c r="H4" i="4"/>
  <c r="G4" i="4"/>
  <c r="D4" i="4"/>
  <c r="E4" i="4" s="1"/>
  <c r="I3" i="4"/>
  <c r="H3" i="4"/>
  <c r="G3" i="4"/>
  <c r="E3" i="4"/>
  <c r="D3" i="4"/>
  <c r="I2" i="4"/>
  <c r="I8" i="4" s="1"/>
  <c r="H2" i="4"/>
  <c r="H8" i="4" s="1"/>
  <c r="B9" i="4" s="1"/>
  <c r="G2" i="4"/>
  <c r="G8" i="4" s="1"/>
  <c r="D2" i="4"/>
  <c r="E2" i="4" s="1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I1" i="3" s="1"/>
  <c r="G11" i="3"/>
  <c r="F11" i="3"/>
  <c r="G10" i="3"/>
  <c r="F10" i="3"/>
  <c r="G9" i="3"/>
  <c r="F9" i="3"/>
  <c r="G8" i="3"/>
  <c r="F8" i="3"/>
  <c r="G7" i="3"/>
  <c r="F7" i="3"/>
  <c r="G6" i="3"/>
  <c r="F6" i="3"/>
  <c r="I5" i="3"/>
  <c r="G5" i="3"/>
  <c r="F5" i="3"/>
  <c r="G4" i="3"/>
  <c r="F4" i="3"/>
  <c r="I3" i="3"/>
  <c r="G3" i="3"/>
  <c r="F3" i="3"/>
  <c r="I2" i="3"/>
  <c r="G2" i="3"/>
  <c r="F2" i="3"/>
  <c r="F34" i="2"/>
  <c r="E34" i="2"/>
  <c r="B34" i="2"/>
  <c r="A34" i="2"/>
  <c r="F33" i="2"/>
  <c r="I3" i="2" s="1"/>
  <c r="E33" i="2"/>
  <c r="I6" i="2"/>
  <c r="I5" i="2"/>
  <c r="E34" i="1"/>
  <c r="F31" i="1"/>
  <c r="H31" i="1" s="1"/>
  <c r="D31" i="1"/>
  <c r="C31" i="1"/>
  <c r="F30" i="1"/>
  <c r="G30" i="1" s="1"/>
  <c r="C30" i="1"/>
  <c r="D30" i="1" s="1"/>
  <c r="C29" i="1"/>
  <c r="F29" i="1" s="1"/>
  <c r="C28" i="1"/>
  <c r="D28" i="1" s="1"/>
  <c r="F27" i="1"/>
  <c r="H27" i="1" s="1"/>
  <c r="D27" i="1"/>
  <c r="C27" i="1"/>
  <c r="F26" i="1"/>
  <c r="G26" i="1" s="1"/>
  <c r="C26" i="1"/>
  <c r="D26" i="1" s="1"/>
  <c r="C25" i="1"/>
  <c r="F25" i="1" s="1"/>
  <c r="C24" i="1"/>
  <c r="D24" i="1" s="1"/>
  <c r="F23" i="1"/>
  <c r="H23" i="1" s="1"/>
  <c r="D23" i="1"/>
  <c r="C23" i="1"/>
  <c r="F22" i="1"/>
  <c r="G22" i="1" s="1"/>
  <c r="C22" i="1"/>
  <c r="D22" i="1" s="1"/>
  <c r="C21" i="1"/>
  <c r="F21" i="1" s="1"/>
  <c r="C20" i="1"/>
  <c r="D20" i="1" s="1"/>
  <c r="F19" i="1"/>
  <c r="H19" i="1" s="1"/>
  <c r="D19" i="1"/>
  <c r="C19" i="1"/>
  <c r="F18" i="1"/>
  <c r="G18" i="1" s="1"/>
  <c r="C18" i="1"/>
  <c r="D18" i="1" s="1"/>
  <c r="C17" i="1"/>
  <c r="F17" i="1" s="1"/>
  <c r="C16" i="1"/>
  <c r="D16" i="1" s="1"/>
  <c r="F15" i="1"/>
  <c r="H15" i="1" s="1"/>
  <c r="D15" i="1"/>
  <c r="C15" i="1"/>
  <c r="F14" i="1"/>
  <c r="G14" i="1" s="1"/>
  <c r="C14" i="1"/>
  <c r="D14" i="1" s="1"/>
  <c r="C13" i="1"/>
  <c r="F13" i="1" s="1"/>
  <c r="C12" i="1"/>
  <c r="D12" i="1" s="1"/>
  <c r="F11" i="1"/>
  <c r="H11" i="1" s="1"/>
  <c r="D11" i="1"/>
  <c r="C11" i="1"/>
  <c r="F10" i="1"/>
  <c r="G10" i="1" s="1"/>
  <c r="C10" i="1"/>
  <c r="D10" i="1" s="1"/>
  <c r="C9" i="1"/>
  <c r="F9" i="1" s="1"/>
  <c r="C8" i="1"/>
  <c r="D8" i="1" s="1"/>
  <c r="F7" i="1"/>
  <c r="H7" i="1" s="1"/>
  <c r="D7" i="1"/>
  <c r="C7" i="1"/>
  <c r="F6" i="1"/>
  <c r="G6" i="1" s="1"/>
  <c r="C6" i="1"/>
  <c r="D6" i="1" s="1"/>
  <c r="C5" i="1"/>
  <c r="F5" i="1" s="1"/>
  <c r="H4" i="1"/>
  <c r="C4" i="1"/>
  <c r="D4" i="1" s="1"/>
  <c r="C3" i="1"/>
  <c r="F3" i="1" s="1"/>
  <c r="C2" i="1"/>
  <c r="D2" i="1" s="1"/>
  <c r="Q2" i="5" l="1"/>
  <c r="R2" i="5" s="1"/>
  <c r="Q3" i="5"/>
  <c r="R3" i="5" s="1"/>
  <c r="K6" i="5"/>
  <c r="K7" i="5" s="1"/>
  <c r="H5" i="1"/>
  <c r="G5" i="1"/>
  <c r="H21" i="1"/>
  <c r="G21" i="1"/>
  <c r="G62" i="3"/>
  <c r="F62" i="3"/>
  <c r="I4" i="3"/>
  <c r="I6" i="3" s="1"/>
  <c r="I7" i="3" s="1"/>
  <c r="H3" i="1"/>
  <c r="G3" i="1"/>
  <c r="H17" i="1"/>
  <c r="G17" i="1"/>
  <c r="H13" i="1"/>
  <c r="G13" i="1"/>
  <c r="H29" i="1"/>
  <c r="G29" i="1"/>
  <c r="E9" i="4"/>
  <c r="E11" i="4" s="1"/>
  <c r="H9" i="1"/>
  <c r="G9" i="1"/>
  <c r="H25" i="1"/>
  <c r="G25" i="1"/>
  <c r="F2" i="1"/>
  <c r="D3" i="1"/>
  <c r="D5" i="1"/>
  <c r="H6" i="1"/>
  <c r="G7" i="1"/>
  <c r="F8" i="1"/>
  <c r="D9" i="1"/>
  <c r="H10" i="1"/>
  <c r="G11" i="1"/>
  <c r="F12" i="1"/>
  <c r="D13" i="1"/>
  <c r="H14" i="1"/>
  <c r="G15" i="1"/>
  <c r="F16" i="1"/>
  <c r="D17" i="1"/>
  <c r="H18" i="1"/>
  <c r="G19" i="1"/>
  <c r="F20" i="1"/>
  <c r="D21" i="1"/>
  <c r="H22" i="1"/>
  <c r="G23" i="1"/>
  <c r="F24" i="1"/>
  <c r="D25" i="1"/>
  <c r="H26" i="1"/>
  <c r="G27" i="1"/>
  <c r="F28" i="1"/>
  <c r="D29" i="1"/>
  <c r="H30" i="1"/>
  <c r="G31" i="1"/>
  <c r="I4" i="2"/>
  <c r="I2" i="2"/>
  <c r="I7" i="2" s="1"/>
  <c r="I8" i="2" s="1"/>
  <c r="G24" i="1" l="1"/>
  <c r="H24" i="1"/>
  <c r="G20" i="1"/>
  <c r="H20" i="1"/>
  <c r="G16" i="1"/>
  <c r="H16" i="1"/>
  <c r="G12" i="1"/>
  <c r="H12" i="1"/>
  <c r="G8" i="1"/>
  <c r="H8" i="1"/>
  <c r="G28" i="1"/>
  <c r="H28" i="1"/>
  <c r="G2" i="1"/>
  <c r="H2" i="1"/>
  <c r="F32" i="1"/>
  <c r="H32" i="1" l="1"/>
  <c r="B33" i="1" s="1"/>
  <c r="B35" i="1" s="1"/>
  <c r="G32" i="1"/>
  <c r="E33" i="1" s="1"/>
  <c r="E35" i="1" s="1"/>
</calcChain>
</file>

<file path=xl/sharedStrings.xml><?xml version="1.0" encoding="utf-8"?>
<sst xmlns="http://schemas.openxmlformats.org/spreadsheetml/2006/main" count="184" uniqueCount="54">
  <si>
    <t>index</t>
  </si>
  <si>
    <t>altura</t>
  </si>
  <si>
    <t>altura-μ</t>
  </si>
  <si>
    <t>Valor abs</t>
  </si>
  <si>
    <t>Ranking</t>
  </si>
  <si>
    <t>Ri</t>
  </si>
  <si>
    <t>Ri²</t>
  </si>
  <si>
    <t>Ri+</t>
  </si>
  <si>
    <t>T</t>
  </si>
  <si>
    <t>Tcrítico</t>
  </si>
  <si>
    <t>Z</t>
  </si>
  <si>
    <t>¿altura ≠ 7?</t>
  </si>
  <si>
    <r>
      <rPr>
        <b/>
        <i/>
        <sz val="11"/>
        <color theme="1"/>
        <rFont val="Calibri"/>
        <family val="2"/>
        <charset val="1"/>
      </rPr>
      <t>p-valor</t>
    </r>
    <r>
      <rPr>
        <b/>
        <sz val="11"/>
        <color theme="1"/>
        <rFont val="Calibri"/>
        <family val="2"/>
        <charset val="1"/>
      </rPr>
      <t xml:space="preserve"> (DC)</t>
    </r>
  </si>
  <si>
    <t>Datos originales</t>
  </si>
  <si>
    <t>Datos ordenados</t>
  </si>
  <si>
    <t>CV</t>
  </si>
  <si>
    <t>JB</t>
  </si>
  <si>
    <t>U1</t>
  </si>
  <si>
    <t>U2</t>
  </si>
  <si>
    <t>μ</t>
  </si>
  <si>
    <t>Rango empates</t>
  </si>
  <si>
    <t>σ²</t>
  </si>
  <si>
    <t>p-valor</t>
  </si>
  <si>
    <t>n</t>
  </si>
  <si>
    <t>R</t>
  </si>
  <si>
    <t>lugar</t>
  </si>
  <si>
    <t>n1</t>
  </si>
  <si>
    <t>n2</t>
  </si>
  <si>
    <t>Suma empates</t>
  </si>
  <si>
    <t>U</t>
  </si>
  <si>
    <t>avestruz</t>
  </si>
  <si>
    <t>carotid</t>
  </si>
  <si>
    <t>brain</t>
  </si>
  <si>
    <t>diff</t>
  </si>
  <si>
    <t>abs.diff</t>
  </si>
  <si>
    <t>ranking</t>
  </si>
  <si>
    <t>Ri^2</t>
  </si>
  <si>
    <t>Ri-</t>
  </si>
  <si>
    <t>¿d.altura &lt; 0?</t>
  </si>
  <si>
    <t>Macho</t>
  </si>
  <si>
    <t>Hembra</t>
  </si>
  <si>
    <t>Infante</t>
  </si>
  <si>
    <t>Promedio</t>
  </si>
  <si>
    <t>Varianza</t>
  </si>
  <si>
    <t>sexo</t>
  </si>
  <si>
    <t>peso</t>
  </si>
  <si>
    <t>Etiquetas de fila</t>
  </si>
  <si>
    <t>Suma de Ranking</t>
  </si>
  <si>
    <t>H</t>
  </si>
  <si>
    <t>Comparación</t>
  </si>
  <si>
    <t>Hembra-Macho</t>
  </si>
  <si>
    <t>Infante-Macho</t>
  </si>
  <si>
    <t>Infante-Hembra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</si>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</sst>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numFmt numFmtId="165" formatCode="0.0000"/>
      <alignment horizontal="center" vertical="center" textRotation="0" wrapText="0" indent="0" justifyLastLine="0" shrinkToFit="0" readingOrder="0"/>
    </dxf>
    <dxf>
      <alignment horizontal="general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Rojas" refreshedDate="45899.933089351849" createdVersion="8" refreshedVersion="8" minRefreshableVersion="3" recordCount="45" xr:uid="{E6CAE470-6AC9-4EFB-93FF-1CC94B908F50}">
  <cacheSource type="worksheet">
    <worksheetSource name="Tabla5"/>
  </cacheSource>
  <cacheFields count="3">
    <cacheField name="sexo" numFmtId="0">
      <sharedItems count="3">
        <s v="Infante"/>
        <s v="Macho"/>
        <s v="Hembra"/>
      </sharedItems>
    </cacheField>
    <cacheField name="peso" numFmtId="165">
      <sharedItems containsSemiMixedTypes="0" containsString="0" containsNumber="1" minValue="0.13750000000000001" maxValue="2.14"/>
    </cacheField>
    <cacheField name="Ranking" numFmtId="0">
      <sharedItems containsSemiMixedTypes="0" containsString="0" containsNumber="1" containsInteger="1" minValue="1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0.13750000000000001"/>
    <n v="1"/>
  </r>
  <r>
    <x v="1"/>
    <n v="0.17"/>
    <n v="2"/>
  </r>
  <r>
    <x v="0"/>
    <n v="0.192"/>
    <n v="3"/>
  </r>
  <r>
    <x v="0"/>
    <n v="0.20050000000000001"/>
    <n v="4"/>
  </r>
  <r>
    <x v="0"/>
    <n v="0.20499999999999999"/>
    <n v="5"/>
  </r>
  <r>
    <x v="2"/>
    <n v="0.20699999999999999"/>
    <n v="6"/>
  </r>
  <r>
    <x v="0"/>
    <n v="0.20849999999999999"/>
    <n v="7"/>
  </r>
  <r>
    <x v="0"/>
    <n v="0.22600000000000001"/>
    <n v="8"/>
  </r>
  <r>
    <x v="0"/>
    <n v="0.27100000000000002"/>
    <n v="9"/>
  </r>
  <r>
    <x v="0"/>
    <n v="0.27700000000000002"/>
    <n v="10"/>
  </r>
  <r>
    <x v="0"/>
    <n v="0.30599999999999999"/>
    <n v="11"/>
  </r>
  <r>
    <x v="0"/>
    <n v="0.32"/>
    <n v="12"/>
  </r>
  <r>
    <x v="0"/>
    <n v="0.35349999999999998"/>
    <n v="13"/>
  </r>
  <r>
    <x v="2"/>
    <n v="0.38400000000000001"/>
    <n v="14"/>
  </r>
  <r>
    <x v="0"/>
    <n v="0.51300000000000001"/>
    <n v="15"/>
  </r>
  <r>
    <x v="1"/>
    <n v="0.51500000000000001"/>
    <n v="16"/>
  </r>
  <r>
    <x v="1"/>
    <n v="0.52300000000000002"/>
    <n v="17"/>
  </r>
  <r>
    <x v="2"/>
    <n v="0.57550000000000001"/>
    <n v="18"/>
  </r>
  <r>
    <x v="0"/>
    <n v="0.59099999999999997"/>
    <n v="19"/>
  </r>
  <r>
    <x v="1"/>
    <n v="0.62949999999999995"/>
    <n v="20"/>
  </r>
  <r>
    <x v="1"/>
    <n v="0.65649999999999997"/>
    <n v="21"/>
  </r>
  <r>
    <x v="0"/>
    <n v="0.70450000000000002"/>
    <n v="22"/>
  </r>
  <r>
    <x v="1"/>
    <n v="0.77200000000000002"/>
    <n v="23"/>
  </r>
  <r>
    <x v="2"/>
    <n v="0.77600000000000002"/>
    <n v="24"/>
  </r>
  <r>
    <x v="0"/>
    <n v="0.80249999999999999"/>
    <n v="25"/>
  </r>
  <r>
    <x v="2"/>
    <n v="0.84350000000000003"/>
    <n v="26"/>
  </r>
  <r>
    <x v="1"/>
    <n v="0.9325"/>
    <n v="27"/>
  </r>
  <r>
    <x v="1"/>
    <n v="0.94399999999999995"/>
    <n v="28"/>
  </r>
  <r>
    <x v="2"/>
    <n v="0.97750000000000004"/>
    <n v="29"/>
  </r>
  <r>
    <x v="1"/>
    <n v="1.024"/>
    <n v="30"/>
  </r>
  <r>
    <x v="1"/>
    <n v="1.0269999999999999"/>
    <n v="31"/>
  </r>
  <r>
    <x v="2"/>
    <n v="1.0325"/>
    <n v="32"/>
  </r>
  <r>
    <x v="2"/>
    <n v="1.077"/>
    <n v="33"/>
  </r>
  <r>
    <x v="2"/>
    <n v="1.0905"/>
    <n v="34"/>
  </r>
  <r>
    <x v="1"/>
    <n v="1.27"/>
    <n v="35"/>
  </r>
  <r>
    <x v="1"/>
    <n v="1.3745000000000001"/>
    <n v="36"/>
  </r>
  <r>
    <x v="1"/>
    <n v="1.4275"/>
    <n v="37"/>
  </r>
  <r>
    <x v="2"/>
    <n v="1.4355"/>
    <n v="38"/>
  </r>
  <r>
    <x v="2"/>
    <n v="1.5660000000000001"/>
    <n v="39"/>
  </r>
  <r>
    <x v="2"/>
    <n v="1.6839999999999999"/>
    <n v="40"/>
  </r>
  <r>
    <x v="2"/>
    <n v="1.7190000000000001"/>
    <n v="41"/>
  </r>
  <r>
    <x v="2"/>
    <n v="1.7729999999999999"/>
    <n v="42"/>
  </r>
  <r>
    <x v="1"/>
    <n v="2.0884999999999998"/>
    <n v="43"/>
  </r>
  <r>
    <x v="2"/>
    <n v="2.1030000000000002"/>
    <n v="44"/>
  </r>
  <r>
    <x v="1"/>
    <n v="2.14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5E76-DC65-4E4F-8414-5C2C5EA1089B}" name="TablaDinámica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J1:K4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numFmtId="165"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a de Ranking" fld="2" baseField="0" baseItem="0"/>
  </dataFields>
  <formats count="10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2" totalsRowCount="1">
  <autoFilter ref="A1:H31" xr:uid="{00000000-0009-0000-0100-000001000000}"/>
  <tableColumns count="8">
    <tableColumn id="1" xr3:uid="{00000000-0010-0000-0000-000001000000}" name="index"/>
    <tableColumn id="2" xr3:uid="{00000000-0010-0000-0000-000002000000}" name="altura"/>
    <tableColumn id="3" xr3:uid="{00000000-0010-0000-0000-000003000000}" name="altura-μ"/>
    <tableColumn id="4" xr3:uid="{00000000-0010-0000-0000-000004000000}" name="Valor abs"/>
    <tableColumn id="5" xr3:uid="{00000000-0010-0000-0000-000005000000}" name="Ranking"/>
    <tableColumn id="6" xr3:uid="{00000000-0010-0000-0000-000006000000}" name="Ri" totalsRowFunction="custom">
      <totalsRowFormula>SUM(Tabla1[Ri])</totalsRowFormula>
    </tableColumn>
    <tableColumn id="7" xr3:uid="{00000000-0010-0000-0000-000007000000}" name="Ri²" totalsRowFunction="custom">
      <totalsRowFormula>SUM(Tabla1[Ri²])</totalsRowFormula>
    </tableColumn>
    <tableColumn id="8" xr3:uid="{00000000-0010-0000-0000-000008000000}" name="Ri+" totalsRowFunction="custom">
      <totalsRowFormula>SUM(H2:H31)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61" totalsRowShown="0">
  <autoFilter ref="A1:C61" xr:uid="{00000000-0009-0000-0100-000003000000}"/>
  <tableColumns count="3">
    <tableColumn id="1" xr3:uid="{00000000-0010-0000-0100-000001000000}" name="lugar"/>
    <tableColumn id="2" xr3:uid="{00000000-0010-0000-0100-000002000000}" name="altura"/>
    <tableColumn id="3" xr3:uid="{00000000-0010-0000-0100-000003000000}" name="Ranking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I8" totalsRowCount="1">
  <autoFilter ref="A1:I7" xr:uid="{00000000-0009-0000-0100-000002000000}"/>
  <tableColumns count="9">
    <tableColumn id="1" xr3:uid="{00000000-0010-0000-0200-000001000000}" name="avestruz"/>
    <tableColumn id="2" xr3:uid="{00000000-0010-0000-0200-000002000000}" name="carotid"/>
    <tableColumn id="3" xr3:uid="{00000000-0010-0000-0200-000003000000}" name="brain"/>
    <tableColumn id="4" xr3:uid="{00000000-0010-0000-0200-000004000000}" name="diff"/>
    <tableColumn id="5" xr3:uid="{00000000-0010-0000-0200-000005000000}" name="abs.diff"/>
    <tableColumn id="6" xr3:uid="{00000000-0010-0000-0200-000006000000}" name="ranking" totalsRowFunction="custom">
      <totalsRowFormula>SUM(Tabla2[ranking])</totalsRowFormula>
    </tableColumn>
    <tableColumn id="7" xr3:uid="{00000000-0010-0000-0200-000007000000}" name="Ri^2" totalsRowFunction="custom">
      <totalsRowFormula>SUM(Tabla2[Ri^2])</totalsRowFormula>
    </tableColumn>
    <tableColumn id="8" xr3:uid="{00000000-0010-0000-0200-000008000000}" name="Ri+" totalsRowFunction="custom">
      <totalsRowFormula>SUM(Tabla2[Ri+])</totalsRowFormula>
    </tableColumn>
    <tableColumn id="9" xr3:uid="{00000000-0010-0000-0200-000009000000}" name="Ri-" totalsRowFunction="custom">
      <totalsRowFormula>SUM(Tabla2[Ri-])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575C9-FAF8-4F2A-8B26-05366180C052}" name="Tabla4" displayName="Tabla4" ref="B1:D17" totalsRowCount="1" headerRowDxfId="36" dataDxfId="34" totalsRowDxfId="35">
  <autoFilter ref="B1:D16" xr:uid="{613575C9-FAF8-4F2A-8B26-05366180C052}"/>
  <tableColumns count="3">
    <tableColumn id="1" xr3:uid="{BCBAB8B4-B892-49EA-9BC5-D9AC48FA595C}" name="Macho" totalsRowFunction="custom" dataDxfId="42" totalsRowDxfId="41">
      <totalsRowFormula>AVERAGE(Tabla4[Macho])</totalsRowFormula>
    </tableColumn>
    <tableColumn id="2" xr3:uid="{AE6D7F10-1E5C-4822-B993-98C9110C9047}" name="Hembra" totalsRowFunction="custom" dataDxfId="40" totalsRowDxfId="39">
      <totalsRowFormula>AVERAGE(Tabla4[Hembra])</totalsRowFormula>
    </tableColumn>
    <tableColumn id="3" xr3:uid="{1ED856F5-7166-4C02-A2DA-30133B17513A}" name="Infante" totalsRowFunction="custom" dataDxfId="38" totalsRowDxfId="37">
      <totalsRowFormula>AVERAGE(Tabla4[Infante])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0C2D73-00FB-47F8-A799-3140D9929A99}" name="Tabla5" displayName="Tabla5" ref="F1:H46" totalsRowShown="0" headerRowDxfId="30" dataDxfId="29">
  <autoFilter ref="F1:H46" xr:uid="{8D0C2D73-00FB-47F8-A799-3140D9929A99}"/>
  <sortState xmlns:xlrd2="http://schemas.microsoft.com/office/spreadsheetml/2017/richdata2" ref="F2:H46">
    <sortCondition ref="H1:H46"/>
  </sortState>
  <tableColumns count="3">
    <tableColumn id="1" xr3:uid="{50B1881E-4239-416D-AE0E-355A06FA76E2}" name="sexo" dataDxfId="33"/>
    <tableColumn id="2" xr3:uid="{FEC57959-A17C-47D4-A2F4-8368D483EC4B}" name="peso" dataDxfId="32"/>
    <tableColumn id="3" xr3:uid="{37A4E934-3AC2-4733-A890-C60460B062BC}" name="Ranking" dataDxfId="3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showGridLines="0" zoomScaleNormal="100" workbookViewId="0"/>
  </sheetViews>
  <sheetFormatPr baseColWidth="10" defaultColWidth="11.42578125" defaultRowHeight="15" customHeight="1" x14ac:dyDescent="0.25"/>
  <cols>
    <col min="1" max="16384" width="11.42578125" style="2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5</v>
      </c>
      <c r="C2" s="4">
        <f>Tabla1[[#This Row],[altura]]-7</f>
        <v>-2</v>
      </c>
      <c r="D2" s="4">
        <f>ABS(Tabla1[[#This Row],[altura-μ]])</f>
        <v>2</v>
      </c>
      <c r="E2" s="2">
        <v>8.5</v>
      </c>
      <c r="F2" s="2">
        <f>IF(Tabla1[[#This Row],[altura-μ]]&lt;0,-1*Tabla1[[#This Row],[Ranking]],Tabla1[[#This Row],[Ranking]])</f>
        <v>-8.5</v>
      </c>
      <c r="G2" s="2">
        <f>Tabla1[[#This Row],[Ri]]^2</f>
        <v>72.25</v>
      </c>
      <c r="H2" s="2">
        <f t="shared" ref="H2:H31" si="0">IF(F2&gt;0,F2,0)</f>
        <v>0</v>
      </c>
    </row>
    <row r="3" spans="1:8" x14ac:dyDescent="0.25">
      <c r="A3" s="2">
        <v>2</v>
      </c>
      <c r="B3" s="4">
        <v>2</v>
      </c>
      <c r="C3" s="4">
        <f>Tabla1[[#This Row],[altura]]-7</f>
        <v>-5</v>
      </c>
      <c r="D3" s="4">
        <f>ABS(Tabla1[[#This Row],[altura-μ]])</f>
        <v>5</v>
      </c>
      <c r="E3" s="2">
        <v>24</v>
      </c>
      <c r="F3" s="2">
        <f>IF(Tabla1[[#This Row],[altura-μ]]&lt;0,-1*Tabla1[[#This Row],[Ranking]],Tabla1[[#This Row],[Ranking]])</f>
        <v>-24</v>
      </c>
      <c r="G3" s="2">
        <f>Tabla1[[#This Row],[Ri]]^2</f>
        <v>576</v>
      </c>
      <c r="H3" s="2">
        <f t="shared" si="0"/>
        <v>0</v>
      </c>
    </row>
    <row r="4" spans="1:8" x14ac:dyDescent="0.25">
      <c r="A4" s="2">
        <v>3</v>
      </c>
      <c r="B4" s="4">
        <v>7</v>
      </c>
      <c r="C4" s="4">
        <f>Tabla1[[#This Row],[altura]]-7</f>
        <v>0</v>
      </c>
      <c r="D4" s="4">
        <f>ABS(Tabla1[[#This Row],[altura-μ]])</f>
        <v>0</v>
      </c>
      <c r="H4" s="2">
        <f t="shared" si="0"/>
        <v>0</v>
      </c>
    </row>
    <row r="5" spans="1:8" x14ac:dyDescent="0.25">
      <c r="A5" s="2">
        <v>4</v>
      </c>
      <c r="B5" s="4">
        <v>12</v>
      </c>
      <c r="C5" s="4">
        <f>Tabla1[[#This Row],[altura]]-7</f>
        <v>5</v>
      </c>
      <c r="D5" s="4">
        <f>ABS(Tabla1[[#This Row],[altura-μ]])</f>
        <v>5</v>
      </c>
      <c r="E5" s="2">
        <v>24</v>
      </c>
      <c r="F5" s="2">
        <f>IF(Tabla1[[#This Row],[altura-μ]]&lt;0,-1*Tabla1[[#This Row],[Ranking]],Tabla1[[#This Row],[Ranking]])</f>
        <v>24</v>
      </c>
      <c r="G5" s="2">
        <f>Tabla1[[#This Row],[Ri]]^2</f>
        <v>576</v>
      </c>
      <c r="H5" s="2">
        <f t="shared" si="0"/>
        <v>24</v>
      </c>
    </row>
    <row r="6" spans="1:8" x14ac:dyDescent="0.25">
      <c r="A6" s="2">
        <v>5</v>
      </c>
      <c r="B6" s="4">
        <v>12</v>
      </c>
      <c r="C6" s="4">
        <f>Tabla1[[#This Row],[altura]]-7</f>
        <v>5</v>
      </c>
      <c r="D6" s="4">
        <f>ABS(Tabla1[[#This Row],[altura-μ]])</f>
        <v>5</v>
      </c>
      <c r="E6" s="2">
        <v>24</v>
      </c>
      <c r="F6" s="2">
        <f>IF(Tabla1[[#This Row],[altura-μ]]&lt;0,-1*Tabla1[[#This Row],[Ranking]],Tabla1[[#This Row],[Ranking]])</f>
        <v>24</v>
      </c>
      <c r="G6" s="2">
        <f>Tabla1[[#This Row],[Ri]]^2</f>
        <v>576</v>
      </c>
      <c r="H6" s="2">
        <f t="shared" si="0"/>
        <v>24</v>
      </c>
    </row>
    <row r="7" spans="1:8" x14ac:dyDescent="0.25">
      <c r="A7" s="2">
        <v>6</v>
      </c>
      <c r="B7" s="4">
        <v>3</v>
      </c>
      <c r="C7" s="4">
        <f>Tabla1[[#This Row],[altura]]-7</f>
        <v>-4</v>
      </c>
      <c r="D7" s="4">
        <f>ABS(Tabla1[[#This Row],[altura-μ]])</f>
        <v>4</v>
      </c>
      <c r="E7" s="2">
        <v>18.5</v>
      </c>
      <c r="F7" s="2">
        <f>IF(Tabla1[[#This Row],[altura-μ]]&lt;0,-1*Tabla1[[#This Row],[Ranking]],Tabla1[[#This Row],[Ranking]])</f>
        <v>-18.5</v>
      </c>
      <c r="G7" s="2">
        <f>Tabla1[[#This Row],[Ri]]^2</f>
        <v>342.25</v>
      </c>
      <c r="H7" s="2">
        <f t="shared" si="0"/>
        <v>0</v>
      </c>
    </row>
    <row r="8" spans="1:8" x14ac:dyDescent="0.25">
      <c r="A8" s="2">
        <v>7</v>
      </c>
      <c r="B8" s="4">
        <v>3</v>
      </c>
      <c r="C8" s="4">
        <f>Tabla1[[#This Row],[altura]]-7</f>
        <v>-4</v>
      </c>
      <c r="D8" s="4">
        <f>ABS(Tabla1[[#This Row],[altura-μ]])</f>
        <v>4</v>
      </c>
      <c r="E8" s="2">
        <v>18.5</v>
      </c>
      <c r="F8" s="2">
        <f>IF(Tabla1[[#This Row],[altura-μ]]&lt;0,-1*Tabla1[[#This Row],[Ranking]],Tabla1[[#This Row],[Ranking]])</f>
        <v>-18.5</v>
      </c>
      <c r="G8" s="2">
        <f>Tabla1[[#This Row],[Ri]]^2</f>
        <v>342.25</v>
      </c>
      <c r="H8" s="2">
        <f t="shared" si="0"/>
        <v>0</v>
      </c>
    </row>
    <row r="9" spans="1:8" x14ac:dyDescent="0.25">
      <c r="A9" s="2">
        <v>8</v>
      </c>
      <c r="B9" s="4">
        <v>10.5</v>
      </c>
      <c r="C9" s="4">
        <f>Tabla1[[#This Row],[altura]]-7</f>
        <v>3.5</v>
      </c>
      <c r="D9" s="4">
        <f>ABS(Tabla1[[#This Row],[altura-μ]])</f>
        <v>3.5</v>
      </c>
      <c r="E9" s="2">
        <v>16</v>
      </c>
      <c r="F9" s="2">
        <f>IF(Tabla1[[#This Row],[altura-μ]]&lt;0,-1*Tabla1[[#This Row],[Ranking]],Tabla1[[#This Row],[Ranking]])</f>
        <v>16</v>
      </c>
      <c r="G9" s="2">
        <f>Tabla1[[#This Row],[Ri]]^2</f>
        <v>256</v>
      </c>
      <c r="H9" s="2">
        <f t="shared" si="0"/>
        <v>16</v>
      </c>
    </row>
    <row r="10" spans="1:8" x14ac:dyDescent="0.25">
      <c r="A10" s="2">
        <v>9</v>
      </c>
      <c r="B10" s="4">
        <v>15</v>
      </c>
      <c r="C10" s="4">
        <f>Tabla1[[#This Row],[altura]]-7</f>
        <v>8</v>
      </c>
      <c r="D10" s="4">
        <f>ABS(Tabla1[[#This Row],[altura-μ]])</f>
        <v>8</v>
      </c>
      <c r="E10" s="2">
        <v>28</v>
      </c>
      <c r="F10" s="2">
        <f>IF(Tabla1[[#This Row],[altura-μ]]&lt;0,-1*Tabla1[[#This Row],[Ranking]],Tabla1[[#This Row],[Ranking]])</f>
        <v>28</v>
      </c>
      <c r="G10" s="2">
        <f>Tabla1[[#This Row],[Ri]]^2</f>
        <v>784</v>
      </c>
      <c r="H10" s="2">
        <f t="shared" si="0"/>
        <v>28</v>
      </c>
    </row>
    <row r="11" spans="1:8" x14ac:dyDescent="0.25">
      <c r="A11" s="2">
        <v>10</v>
      </c>
      <c r="B11" s="4">
        <v>4.5</v>
      </c>
      <c r="C11" s="4">
        <f>Tabla1[[#This Row],[altura]]-7</f>
        <v>-2.5</v>
      </c>
      <c r="D11" s="4">
        <f>ABS(Tabla1[[#This Row],[altura-μ]])</f>
        <v>2.5</v>
      </c>
      <c r="E11" s="2">
        <v>11.5</v>
      </c>
      <c r="F11" s="2">
        <f>IF(Tabla1[[#This Row],[altura-μ]]&lt;0,-1*Tabla1[[#This Row],[Ranking]],Tabla1[[#This Row],[Ranking]])</f>
        <v>-11.5</v>
      </c>
      <c r="G11" s="2">
        <f>Tabla1[[#This Row],[Ri]]^2</f>
        <v>132.25</v>
      </c>
      <c r="H11" s="2">
        <f t="shared" si="0"/>
        <v>0</v>
      </c>
    </row>
    <row r="12" spans="1:8" x14ac:dyDescent="0.25">
      <c r="A12" s="2">
        <v>11</v>
      </c>
      <c r="B12" s="4">
        <v>6</v>
      </c>
      <c r="C12" s="4">
        <f>Tabla1[[#This Row],[altura]]-7</f>
        <v>-1</v>
      </c>
      <c r="D12" s="4">
        <f>ABS(Tabla1[[#This Row],[altura-μ]])</f>
        <v>1</v>
      </c>
      <c r="E12" s="2">
        <v>4.5</v>
      </c>
      <c r="F12" s="2">
        <f>IF(Tabla1[[#This Row],[altura-μ]]&lt;0,-1*Tabla1[[#This Row],[Ranking]],Tabla1[[#This Row],[Ranking]])</f>
        <v>-4.5</v>
      </c>
      <c r="G12" s="2">
        <f>Tabla1[[#This Row],[Ri]]^2</f>
        <v>20.25</v>
      </c>
      <c r="H12" s="2">
        <f t="shared" si="0"/>
        <v>0</v>
      </c>
    </row>
    <row r="13" spans="1:8" x14ac:dyDescent="0.25">
      <c r="A13" s="2">
        <v>12</v>
      </c>
      <c r="B13" s="4">
        <v>6.75</v>
      </c>
      <c r="C13" s="4">
        <f>Tabla1[[#This Row],[altura]]-7</f>
        <v>-0.25</v>
      </c>
      <c r="D13" s="4">
        <f>ABS(Tabla1[[#This Row],[altura-μ]])</f>
        <v>0.25</v>
      </c>
      <c r="E13" s="2">
        <v>1</v>
      </c>
      <c r="F13" s="2">
        <f>IF(Tabla1[[#This Row],[altura-μ]]&lt;0,-1*Tabla1[[#This Row],[Ranking]],Tabla1[[#This Row],[Ranking]])</f>
        <v>-1</v>
      </c>
      <c r="G13" s="2">
        <f>Tabla1[[#This Row],[Ri]]^2</f>
        <v>1</v>
      </c>
      <c r="H13" s="2">
        <f t="shared" si="0"/>
        <v>0</v>
      </c>
    </row>
    <row r="14" spans="1:8" x14ac:dyDescent="0.25">
      <c r="A14" s="2">
        <v>13</v>
      </c>
      <c r="B14" s="4">
        <v>13.5</v>
      </c>
      <c r="C14" s="4">
        <f>Tabla1[[#This Row],[altura]]-7</f>
        <v>6.5</v>
      </c>
      <c r="D14" s="4">
        <f>ABS(Tabla1[[#This Row],[altura-μ]])</f>
        <v>6.5</v>
      </c>
      <c r="E14" s="2">
        <v>27</v>
      </c>
      <c r="F14" s="2">
        <f>IF(Tabla1[[#This Row],[altura-μ]]&lt;0,-1*Tabla1[[#This Row],[Ranking]],Tabla1[[#This Row],[Ranking]])</f>
        <v>27</v>
      </c>
      <c r="G14" s="2">
        <f>Tabla1[[#This Row],[Ri]]^2</f>
        <v>729</v>
      </c>
      <c r="H14" s="2">
        <f t="shared" si="0"/>
        <v>27</v>
      </c>
    </row>
    <row r="15" spans="1:8" x14ac:dyDescent="0.25">
      <c r="A15" s="2">
        <v>14</v>
      </c>
      <c r="B15" s="4">
        <v>2.2000000000000002</v>
      </c>
      <c r="C15" s="4">
        <f>Tabla1[[#This Row],[altura]]-7</f>
        <v>-4.8</v>
      </c>
      <c r="D15" s="4">
        <f>ABS(Tabla1[[#This Row],[altura-μ]])</f>
        <v>4.8</v>
      </c>
      <c r="E15" s="2">
        <v>22</v>
      </c>
      <c r="F15" s="2">
        <f>IF(Tabla1[[#This Row],[altura-μ]]&lt;0,-1*Tabla1[[#This Row],[Ranking]],Tabla1[[#This Row],[Ranking]])</f>
        <v>-22</v>
      </c>
      <c r="G15" s="2">
        <f>Tabla1[[#This Row],[Ri]]^2</f>
        <v>484</v>
      </c>
      <c r="H15" s="2">
        <f t="shared" si="0"/>
        <v>0</v>
      </c>
    </row>
    <row r="16" spans="1:8" x14ac:dyDescent="0.25">
      <c r="A16" s="2">
        <v>15</v>
      </c>
      <c r="B16" s="4">
        <v>8.25</v>
      </c>
      <c r="C16" s="4">
        <f>Tabla1[[#This Row],[altura]]-7</f>
        <v>1.25</v>
      </c>
      <c r="D16" s="4">
        <f>ABS(Tabla1[[#This Row],[altura-μ]])</f>
        <v>1.25</v>
      </c>
      <c r="E16" s="2">
        <v>6.5</v>
      </c>
      <c r="F16" s="2">
        <f>IF(Tabla1[[#This Row],[altura-μ]]&lt;0,-1*Tabla1[[#This Row],[Ranking]],Tabla1[[#This Row],[Ranking]])</f>
        <v>6.5</v>
      </c>
      <c r="G16" s="2">
        <f>Tabla1[[#This Row],[Ri]]^2</f>
        <v>42.25</v>
      </c>
      <c r="H16" s="2">
        <f t="shared" si="0"/>
        <v>6.5</v>
      </c>
    </row>
    <row r="17" spans="1:8" x14ac:dyDescent="0.25">
      <c r="A17" s="2">
        <v>16</v>
      </c>
      <c r="B17" s="4">
        <v>3</v>
      </c>
      <c r="C17" s="4">
        <f>Tabla1[[#This Row],[altura]]-7</f>
        <v>-4</v>
      </c>
      <c r="D17" s="4">
        <f>ABS(Tabla1[[#This Row],[altura-μ]])</f>
        <v>4</v>
      </c>
      <c r="E17" s="2">
        <v>18.5</v>
      </c>
      <c r="F17" s="2">
        <f>IF(Tabla1[[#This Row],[altura-μ]]&lt;0,-1*Tabla1[[#This Row],[Ranking]],Tabla1[[#This Row],[Ranking]])</f>
        <v>-18.5</v>
      </c>
      <c r="G17" s="2">
        <f>Tabla1[[#This Row],[Ri]]^2</f>
        <v>342.25</v>
      </c>
      <c r="H17" s="2">
        <f t="shared" si="0"/>
        <v>0</v>
      </c>
    </row>
    <row r="18" spans="1:8" x14ac:dyDescent="0.25">
      <c r="A18" s="2">
        <v>17</v>
      </c>
      <c r="B18" s="4">
        <v>9</v>
      </c>
      <c r="C18" s="4">
        <f>Tabla1[[#This Row],[altura]]-7</f>
        <v>2</v>
      </c>
      <c r="D18" s="4">
        <f>ABS(Tabla1[[#This Row],[altura-μ]])</f>
        <v>2</v>
      </c>
      <c r="E18" s="2">
        <v>8.5</v>
      </c>
      <c r="F18" s="2">
        <f>IF(Tabla1[[#This Row],[altura-μ]]&lt;0,-1*Tabla1[[#This Row],[Ranking]],Tabla1[[#This Row],[Ranking]])</f>
        <v>8.5</v>
      </c>
      <c r="G18" s="2">
        <f>Tabla1[[#This Row],[Ri]]^2</f>
        <v>72.25</v>
      </c>
      <c r="H18" s="2">
        <f t="shared" si="0"/>
        <v>8.5</v>
      </c>
    </row>
    <row r="19" spans="1:8" x14ac:dyDescent="0.25">
      <c r="A19" s="2">
        <v>18</v>
      </c>
      <c r="B19" s="4">
        <v>7.5</v>
      </c>
      <c r="C19" s="4">
        <f>Tabla1[[#This Row],[altura]]-7</f>
        <v>0.5</v>
      </c>
      <c r="D19" s="4">
        <f>ABS(Tabla1[[#This Row],[altura-μ]])</f>
        <v>0.5</v>
      </c>
      <c r="E19" s="2">
        <v>2.5</v>
      </c>
      <c r="F19" s="2">
        <f>IF(Tabla1[[#This Row],[altura-μ]]&lt;0,-1*Tabla1[[#This Row],[Ranking]],Tabla1[[#This Row],[Ranking]])</f>
        <v>2.5</v>
      </c>
      <c r="G19" s="2">
        <f>Tabla1[[#This Row],[Ri]]^2</f>
        <v>6.25</v>
      </c>
      <c r="H19" s="2">
        <f t="shared" si="0"/>
        <v>2.5</v>
      </c>
    </row>
    <row r="20" spans="1:8" x14ac:dyDescent="0.25">
      <c r="A20" s="2">
        <v>19</v>
      </c>
      <c r="B20" s="4">
        <v>4.5</v>
      </c>
      <c r="C20" s="4">
        <f>Tabla1[[#This Row],[altura]]-7</f>
        <v>-2.5</v>
      </c>
      <c r="D20" s="4">
        <f>ABS(Tabla1[[#This Row],[altura-μ]])</f>
        <v>2.5</v>
      </c>
      <c r="E20" s="2">
        <v>11.5</v>
      </c>
      <c r="F20" s="2">
        <f>IF(Tabla1[[#This Row],[altura-μ]]&lt;0,-1*Tabla1[[#This Row],[Ranking]],Tabla1[[#This Row],[Ranking]])</f>
        <v>-11.5</v>
      </c>
      <c r="G20" s="2">
        <f>Tabla1[[#This Row],[Ri]]^2</f>
        <v>132.25</v>
      </c>
      <c r="H20" s="2">
        <f t="shared" si="0"/>
        <v>0</v>
      </c>
    </row>
    <row r="21" spans="1:8" x14ac:dyDescent="0.25">
      <c r="A21" s="2">
        <v>20</v>
      </c>
      <c r="B21" s="4">
        <v>4.5</v>
      </c>
      <c r="C21" s="4">
        <f>Tabla1[[#This Row],[altura]]-7</f>
        <v>-2.5</v>
      </c>
      <c r="D21" s="4">
        <f>ABS(Tabla1[[#This Row],[altura-μ]])</f>
        <v>2.5</v>
      </c>
      <c r="E21" s="2">
        <v>11.5</v>
      </c>
      <c r="F21" s="2">
        <f>IF(Tabla1[[#This Row],[altura-μ]]&lt;0,-1*Tabla1[[#This Row],[Ranking]],Tabla1[[#This Row],[Ranking]])</f>
        <v>-11.5</v>
      </c>
      <c r="G21" s="2">
        <f>Tabla1[[#This Row],[Ri]]^2</f>
        <v>132.25</v>
      </c>
      <c r="H21" s="2">
        <f t="shared" si="0"/>
        <v>0</v>
      </c>
    </row>
    <row r="22" spans="1:8" x14ac:dyDescent="0.25">
      <c r="A22" s="2">
        <v>21</v>
      </c>
      <c r="B22" s="4">
        <v>9.75</v>
      </c>
      <c r="C22" s="4">
        <f>Tabla1[[#This Row],[altura]]-7</f>
        <v>2.75</v>
      </c>
      <c r="D22" s="4">
        <f>ABS(Tabla1[[#This Row],[altura-μ]])</f>
        <v>2.75</v>
      </c>
      <c r="E22" s="2">
        <v>14</v>
      </c>
      <c r="F22" s="2">
        <f>IF(Tabla1[[#This Row],[altura-μ]]&lt;0,-1*Tabla1[[#This Row],[Ranking]],Tabla1[[#This Row],[Ranking]])</f>
        <v>14</v>
      </c>
      <c r="G22" s="2">
        <f>Tabla1[[#This Row],[Ri]]^2</f>
        <v>196</v>
      </c>
      <c r="H22" s="2">
        <f t="shared" si="0"/>
        <v>14</v>
      </c>
    </row>
    <row r="23" spans="1:8" x14ac:dyDescent="0.25">
      <c r="A23" s="2">
        <v>22</v>
      </c>
      <c r="B23" s="4">
        <v>7.5</v>
      </c>
      <c r="C23" s="4">
        <f>Tabla1[[#This Row],[altura]]-7</f>
        <v>0.5</v>
      </c>
      <c r="D23" s="4">
        <f>ABS(Tabla1[[#This Row],[altura-μ]])</f>
        <v>0.5</v>
      </c>
      <c r="E23" s="2">
        <v>2.5</v>
      </c>
      <c r="F23" s="2">
        <f>IF(Tabla1[[#This Row],[altura-μ]]&lt;0,-1*Tabla1[[#This Row],[Ranking]],Tabla1[[#This Row],[Ranking]])</f>
        <v>2.5</v>
      </c>
      <c r="G23" s="2">
        <f>Tabla1[[#This Row],[Ri]]^2</f>
        <v>6.25</v>
      </c>
      <c r="H23" s="2">
        <f t="shared" si="0"/>
        <v>2.5</v>
      </c>
    </row>
    <row r="24" spans="1:8" x14ac:dyDescent="0.25">
      <c r="A24" s="2">
        <v>23</v>
      </c>
      <c r="B24" s="4">
        <v>11.25</v>
      </c>
      <c r="C24" s="4">
        <f>Tabla1[[#This Row],[altura]]-7</f>
        <v>4.25</v>
      </c>
      <c r="D24" s="4">
        <f>ABS(Tabla1[[#This Row],[altura-μ]])</f>
        <v>4.25</v>
      </c>
      <c r="E24" s="2">
        <v>21</v>
      </c>
      <c r="F24" s="2">
        <f>IF(Tabla1[[#This Row],[altura-μ]]&lt;0,-1*Tabla1[[#This Row],[Ranking]],Tabla1[[#This Row],[Ranking]])</f>
        <v>21</v>
      </c>
      <c r="G24" s="2">
        <f>Tabla1[[#This Row],[Ri]]^2</f>
        <v>441</v>
      </c>
      <c r="H24" s="2">
        <f t="shared" si="0"/>
        <v>21</v>
      </c>
    </row>
    <row r="25" spans="1:8" x14ac:dyDescent="0.25">
      <c r="A25" s="2">
        <v>24</v>
      </c>
      <c r="B25" s="4">
        <v>16</v>
      </c>
      <c r="C25" s="4">
        <f>Tabla1[[#This Row],[altura]]-7</f>
        <v>9</v>
      </c>
      <c r="D25" s="4">
        <f>ABS(Tabla1[[#This Row],[altura-μ]])</f>
        <v>9</v>
      </c>
      <c r="E25" s="2">
        <v>29</v>
      </c>
      <c r="F25" s="2">
        <f>IF(Tabla1[[#This Row],[altura-μ]]&lt;0,-1*Tabla1[[#This Row],[Ranking]],Tabla1[[#This Row],[Ranking]])</f>
        <v>29</v>
      </c>
      <c r="G25" s="2">
        <f>Tabla1[[#This Row],[Ri]]^2</f>
        <v>841</v>
      </c>
      <c r="H25" s="2">
        <f t="shared" si="0"/>
        <v>29</v>
      </c>
    </row>
    <row r="26" spans="1:8" x14ac:dyDescent="0.25">
      <c r="A26" s="2">
        <v>25</v>
      </c>
      <c r="B26" s="4">
        <v>13</v>
      </c>
      <c r="C26" s="4">
        <f>Tabla1[[#This Row],[altura]]-7</f>
        <v>6</v>
      </c>
      <c r="D26" s="4">
        <f>ABS(Tabla1[[#This Row],[altura-μ]])</f>
        <v>6</v>
      </c>
      <c r="E26" s="2">
        <v>26</v>
      </c>
      <c r="F26" s="2">
        <f>IF(Tabla1[[#This Row],[altura-μ]]&lt;0,-1*Tabla1[[#This Row],[Ranking]],Tabla1[[#This Row],[Ranking]])</f>
        <v>26</v>
      </c>
      <c r="G26" s="2">
        <f>Tabla1[[#This Row],[Ri]]^2</f>
        <v>676</v>
      </c>
      <c r="H26" s="2">
        <f t="shared" si="0"/>
        <v>26</v>
      </c>
    </row>
    <row r="27" spans="1:8" x14ac:dyDescent="0.25">
      <c r="A27" s="2">
        <v>26</v>
      </c>
      <c r="B27" s="4">
        <v>4.5</v>
      </c>
      <c r="C27" s="4">
        <f>Tabla1[[#This Row],[altura]]-7</f>
        <v>-2.5</v>
      </c>
      <c r="D27" s="4">
        <f>ABS(Tabla1[[#This Row],[altura-μ]])</f>
        <v>2.5</v>
      </c>
      <c r="E27" s="2">
        <v>11.5</v>
      </c>
      <c r="F27" s="2">
        <f>IF(Tabla1[[#This Row],[altura-μ]]&lt;0,-1*Tabla1[[#This Row],[Ranking]],Tabla1[[#This Row],[Ranking]])</f>
        <v>-11.5</v>
      </c>
      <c r="G27" s="2">
        <f>Tabla1[[#This Row],[Ri]]^2</f>
        <v>132.25</v>
      </c>
      <c r="H27" s="2">
        <f t="shared" si="0"/>
        <v>0</v>
      </c>
    </row>
    <row r="28" spans="1:8" x14ac:dyDescent="0.25">
      <c r="A28" s="2">
        <v>27</v>
      </c>
      <c r="B28" s="4">
        <v>8.25</v>
      </c>
      <c r="C28" s="4">
        <f>Tabla1[[#This Row],[altura]]-7</f>
        <v>1.25</v>
      </c>
      <c r="D28" s="4">
        <f>ABS(Tabla1[[#This Row],[altura-μ]])</f>
        <v>1.25</v>
      </c>
      <c r="E28" s="2">
        <v>6.5</v>
      </c>
      <c r="F28" s="2">
        <f>IF(Tabla1[[#This Row],[altura-μ]]&lt;0,-1*Tabla1[[#This Row],[Ranking]],Tabla1[[#This Row],[Ranking]])</f>
        <v>6.5</v>
      </c>
      <c r="G28" s="2">
        <f>Tabla1[[#This Row],[Ri]]^2</f>
        <v>42.25</v>
      </c>
      <c r="H28" s="2">
        <f t="shared" si="0"/>
        <v>6.5</v>
      </c>
    </row>
    <row r="29" spans="1:8" x14ac:dyDescent="0.25">
      <c r="A29" s="2">
        <v>28</v>
      </c>
      <c r="B29" s="4">
        <v>6</v>
      </c>
      <c r="C29" s="4">
        <f>Tabla1[[#This Row],[altura]]-7</f>
        <v>-1</v>
      </c>
      <c r="D29" s="4">
        <f>ABS(Tabla1[[#This Row],[altura-μ]])</f>
        <v>1</v>
      </c>
      <c r="E29" s="2">
        <v>4.5</v>
      </c>
      <c r="F29" s="2">
        <f>IF(Tabla1[[#This Row],[altura-μ]]&lt;0,-1*Tabla1[[#This Row],[Ranking]],Tabla1[[#This Row],[Ranking]])</f>
        <v>-4.5</v>
      </c>
      <c r="G29" s="2">
        <f>Tabla1[[#This Row],[Ri]]^2</f>
        <v>20.25</v>
      </c>
      <c r="H29" s="2">
        <f t="shared" si="0"/>
        <v>0</v>
      </c>
    </row>
    <row r="30" spans="1:8" x14ac:dyDescent="0.25">
      <c r="A30" s="2">
        <v>29</v>
      </c>
      <c r="B30" s="4">
        <v>10</v>
      </c>
      <c r="C30" s="4">
        <f>Tabla1[[#This Row],[altura]]-7</f>
        <v>3</v>
      </c>
      <c r="D30" s="4">
        <f>ABS(Tabla1[[#This Row],[altura-μ]])</f>
        <v>3</v>
      </c>
      <c r="E30" s="2">
        <v>15</v>
      </c>
      <c r="F30" s="2">
        <f>IF(Tabla1[[#This Row],[altura-μ]]&lt;0,-1*Tabla1[[#This Row],[Ranking]],Tabla1[[#This Row],[Ranking]])</f>
        <v>15</v>
      </c>
      <c r="G30" s="2">
        <f>Tabla1[[#This Row],[Ri]]^2</f>
        <v>225</v>
      </c>
      <c r="H30" s="2">
        <f t="shared" si="0"/>
        <v>15</v>
      </c>
    </row>
    <row r="31" spans="1:8" x14ac:dyDescent="0.25">
      <c r="A31" s="2">
        <v>30</v>
      </c>
      <c r="B31" s="4">
        <v>3</v>
      </c>
      <c r="C31" s="4">
        <f>Tabla1[[#This Row],[altura]]-7</f>
        <v>-4</v>
      </c>
      <c r="D31" s="4">
        <f>ABS(Tabla1[[#This Row],[altura-μ]])</f>
        <v>4</v>
      </c>
      <c r="E31" s="2">
        <v>18.5</v>
      </c>
      <c r="F31" s="2">
        <f>IF(Tabla1[[#This Row],[altura-μ]]&lt;0,-1*Tabla1[[#This Row],[Ranking]],Tabla1[[#This Row],[Ranking]])</f>
        <v>-18.5</v>
      </c>
      <c r="G31" s="2">
        <f>Tabla1[[#This Row],[Ri]]^2</f>
        <v>342.25</v>
      </c>
      <c r="H31" s="5">
        <f t="shared" si="0"/>
        <v>0</v>
      </c>
    </row>
    <row r="32" spans="1:8" x14ac:dyDescent="0.25">
      <c r="B32" s="4"/>
      <c r="C32" s="4"/>
      <c r="D32" s="4"/>
      <c r="F32" s="2">
        <f>SUM(Tabla1[Ri])</f>
        <v>66</v>
      </c>
      <c r="G32" s="2">
        <f>SUM(Tabla1[Ri²])</f>
        <v>8541</v>
      </c>
      <c r="H32" s="2">
        <f>SUM(H2:H31)</f>
        <v>250.5</v>
      </c>
    </row>
    <row r="33" spans="1:5" x14ac:dyDescent="0.25">
      <c r="A33" s="2" t="s">
        <v>8</v>
      </c>
      <c r="B33" s="2">
        <f>Tabla1[[#Totals],[Ri+]]</f>
        <v>250.5</v>
      </c>
      <c r="D33" s="3" t="s">
        <v>8</v>
      </c>
      <c r="E33" s="6">
        <f>Tabla1[[#Totals],[Ri]]/SQRT(Tabla1[[#Totals],[Ri²]])</f>
        <v>0.71415022047731502</v>
      </c>
    </row>
    <row r="34" spans="1:5" x14ac:dyDescent="0.25">
      <c r="A34" s="3" t="s">
        <v>9</v>
      </c>
      <c r="B34" s="2">
        <v>126</v>
      </c>
      <c r="D34" s="3" t="s">
        <v>10</v>
      </c>
      <c r="E34" s="4">
        <f>_xlfn.NORM.S.INV(0.975)</f>
        <v>1.9599639845400536</v>
      </c>
    </row>
    <row r="35" spans="1:5" x14ac:dyDescent="0.25">
      <c r="A35" s="3" t="s">
        <v>11</v>
      </c>
      <c r="B35" s="2" t="str">
        <f>IF(B33&lt;=B34,"Sí","No")</f>
        <v>No</v>
      </c>
      <c r="D35" s="7" t="s">
        <v>12</v>
      </c>
      <c r="E35" s="2">
        <f>2*(1-_xlfn.NORM.S.DIST(E33,TRUE()))</f>
        <v>0.47513429455583345</v>
      </c>
    </row>
  </sheetData>
  <conditionalFormatting sqref="F2:F31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selection activeCell="I8" sqref="I8"/>
    </sheetView>
  </sheetViews>
  <sheetFormatPr baseColWidth="10" defaultColWidth="9.140625" defaultRowHeight="15" customHeight="1" x14ac:dyDescent="0.25"/>
  <cols>
    <col min="1" max="7" width="9.140625" style="2"/>
    <col min="8" max="8" width="17.7109375" style="2" customWidth="1"/>
    <col min="9" max="16384" width="9.140625" style="2"/>
  </cols>
  <sheetData>
    <row r="1" spans="1:9" x14ac:dyDescent="0.25">
      <c r="A1" s="1" t="s">
        <v>13</v>
      </c>
      <c r="B1" s="1"/>
      <c r="E1" s="1" t="s">
        <v>14</v>
      </c>
      <c r="F1" s="1"/>
    </row>
    <row r="2" spans="1:9" s="3" customFormat="1" x14ac:dyDescent="0.25">
      <c r="A2" s="3" t="s">
        <v>15</v>
      </c>
      <c r="B2" s="3" t="s">
        <v>16</v>
      </c>
      <c r="E2" s="3" t="s">
        <v>15</v>
      </c>
      <c r="F2" s="3" t="s">
        <v>16</v>
      </c>
      <c r="H2" s="3" t="s">
        <v>17</v>
      </c>
      <c r="I2" s="2">
        <f>$E$33*$F$33+(E33*(E33+1))/2-E34</f>
        <v>219</v>
      </c>
    </row>
    <row r="3" spans="1:9" x14ac:dyDescent="0.25">
      <c r="A3" s="4">
        <v>5</v>
      </c>
      <c r="B3" s="4">
        <v>4</v>
      </c>
      <c r="E3" s="2">
        <v>32</v>
      </c>
      <c r="F3" s="2">
        <v>26.5</v>
      </c>
      <c r="H3" s="3" t="s">
        <v>18</v>
      </c>
      <c r="I3" s="2">
        <f>$E$33*$F$33+(F33*(F33+1))/2-F34</f>
        <v>681</v>
      </c>
    </row>
    <row r="4" spans="1:9" x14ac:dyDescent="0.25">
      <c r="A4" s="4">
        <v>2</v>
      </c>
      <c r="B4" s="4">
        <v>2.5</v>
      </c>
      <c r="E4" s="2">
        <v>7</v>
      </c>
      <c r="F4" s="2">
        <v>14.5</v>
      </c>
      <c r="H4" s="3" t="s">
        <v>19</v>
      </c>
      <c r="I4" s="2">
        <f>E33*F33/2</f>
        <v>450</v>
      </c>
    </row>
    <row r="5" spans="1:9" x14ac:dyDescent="0.25">
      <c r="A5" s="4">
        <v>7</v>
      </c>
      <c r="B5" s="4">
        <v>2.2000000000000002</v>
      </c>
      <c r="E5" s="2">
        <v>39</v>
      </c>
      <c r="F5" s="2">
        <v>9.5</v>
      </c>
      <c r="H5" s="3" t="s">
        <v>20</v>
      </c>
      <c r="I5" s="2">
        <f>((2^3-2)+(2^3-2)+(3^3-3)+(2^3-2)+(3^3-3)+(2^3-2)+(7^3-7)+(2^3-2)+(4^3-4)+(3^3-3)+(3^3-3)+(2^3-2)+(2^3-2)+(2^3-2)+(2^3-2)+(2^3-2)+(2^3-2))/12</f>
        <v>46.5</v>
      </c>
    </row>
    <row r="6" spans="1:9" x14ac:dyDescent="0.25">
      <c r="A6" s="4">
        <v>12</v>
      </c>
      <c r="B6" s="4">
        <v>2.25</v>
      </c>
      <c r="E6" s="2">
        <v>53.5</v>
      </c>
      <c r="F6" s="2">
        <v>12</v>
      </c>
      <c r="H6" s="3" t="s">
        <v>21</v>
      </c>
      <c r="I6" s="2">
        <f>(30*30/(60^2-60))*((60^3-60)/12-I5)</f>
        <v>4563.1779661016944</v>
      </c>
    </row>
    <row r="7" spans="1:9" x14ac:dyDescent="0.25">
      <c r="A7" s="4">
        <v>12</v>
      </c>
      <c r="B7" s="4">
        <v>2</v>
      </c>
      <c r="E7" s="2">
        <v>53.5</v>
      </c>
      <c r="F7" s="2">
        <v>7</v>
      </c>
      <c r="H7" s="3" t="s">
        <v>10</v>
      </c>
      <c r="I7" s="2">
        <f>(I2-I4)/SQRT(I6)</f>
        <v>-3.4196233705532904</v>
      </c>
    </row>
    <row r="8" spans="1:9" x14ac:dyDescent="0.25">
      <c r="A8" s="4">
        <v>3</v>
      </c>
      <c r="B8" s="4">
        <v>2.6</v>
      </c>
      <c r="E8" s="2">
        <v>21</v>
      </c>
      <c r="F8" s="2">
        <v>17</v>
      </c>
      <c r="H8" s="7" t="s">
        <v>22</v>
      </c>
      <c r="I8" s="2">
        <f>_xlfn.NORM.S.DIST(I7,TRUE())*2</f>
        <v>6.27078904269329E-4</v>
      </c>
    </row>
    <row r="9" spans="1:9" x14ac:dyDescent="0.25">
      <c r="A9" s="4">
        <v>3</v>
      </c>
      <c r="B9" s="4">
        <v>2.25</v>
      </c>
      <c r="E9" s="2">
        <v>21</v>
      </c>
      <c r="F9" s="2">
        <v>12</v>
      </c>
    </row>
    <row r="10" spans="1:9" x14ac:dyDescent="0.25">
      <c r="A10" s="4">
        <v>10.5</v>
      </c>
      <c r="B10" s="4">
        <v>2.5499999999999998</v>
      </c>
      <c r="E10" s="2">
        <v>49</v>
      </c>
      <c r="F10" s="2">
        <v>16</v>
      </c>
    </row>
    <row r="11" spans="1:9" x14ac:dyDescent="0.25">
      <c r="A11" s="4">
        <v>15</v>
      </c>
      <c r="B11" s="4">
        <v>3</v>
      </c>
      <c r="E11" s="2">
        <v>59</v>
      </c>
      <c r="F11" s="2">
        <v>21</v>
      </c>
    </row>
    <row r="12" spans="1:9" x14ac:dyDescent="0.25">
      <c r="A12" s="4">
        <v>4.5</v>
      </c>
      <c r="B12" s="4">
        <v>0.75</v>
      </c>
      <c r="E12" s="2">
        <v>29.5</v>
      </c>
      <c r="F12" s="2">
        <v>1.5</v>
      </c>
    </row>
    <row r="13" spans="1:9" x14ac:dyDescent="0.25">
      <c r="A13" s="4">
        <v>6</v>
      </c>
      <c r="B13" s="4">
        <v>3.3</v>
      </c>
      <c r="E13" s="2">
        <v>35</v>
      </c>
      <c r="F13" s="2">
        <v>25</v>
      </c>
    </row>
    <row r="14" spans="1:9" x14ac:dyDescent="0.25">
      <c r="A14" s="4">
        <v>6.75</v>
      </c>
      <c r="B14" s="4">
        <v>13</v>
      </c>
      <c r="E14" s="2">
        <v>37</v>
      </c>
      <c r="F14" s="2">
        <v>55.5</v>
      </c>
    </row>
    <row r="15" spans="1:9" x14ac:dyDescent="0.25">
      <c r="A15" s="4">
        <v>13.5</v>
      </c>
      <c r="B15" s="4">
        <v>0.75</v>
      </c>
      <c r="E15" s="2">
        <v>57</v>
      </c>
      <c r="F15" s="2">
        <v>1.5</v>
      </c>
    </row>
    <row r="16" spans="1:9" x14ac:dyDescent="0.25">
      <c r="A16" s="4">
        <v>2.2000000000000002</v>
      </c>
      <c r="B16" s="4">
        <v>2.5</v>
      </c>
      <c r="E16" s="2">
        <v>9.5</v>
      </c>
      <c r="F16" s="2">
        <v>14.5</v>
      </c>
    </row>
    <row r="17" spans="1:6" x14ac:dyDescent="0.25">
      <c r="A17" s="4">
        <v>8.25</v>
      </c>
      <c r="B17" s="4">
        <v>5.25</v>
      </c>
      <c r="E17" s="2">
        <v>43.5</v>
      </c>
      <c r="F17" s="2">
        <v>33</v>
      </c>
    </row>
    <row r="18" spans="1:6" x14ac:dyDescent="0.25">
      <c r="A18" s="4">
        <v>3</v>
      </c>
      <c r="B18" s="4">
        <v>6</v>
      </c>
      <c r="E18" s="2">
        <v>21</v>
      </c>
      <c r="F18" s="2">
        <v>35</v>
      </c>
    </row>
    <row r="19" spans="1:6" x14ac:dyDescent="0.25">
      <c r="A19" s="4">
        <v>9</v>
      </c>
      <c r="B19" s="4">
        <v>1.8</v>
      </c>
      <c r="E19" s="2">
        <v>45.5</v>
      </c>
      <c r="F19" s="2">
        <v>3.5</v>
      </c>
    </row>
    <row r="20" spans="1:6" x14ac:dyDescent="0.25">
      <c r="A20" s="4">
        <v>7.5</v>
      </c>
      <c r="B20" s="4">
        <v>11</v>
      </c>
      <c r="E20" s="2">
        <v>41.5</v>
      </c>
      <c r="F20" s="2">
        <v>50</v>
      </c>
    </row>
    <row r="21" spans="1:6" x14ac:dyDescent="0.25">
      <c r="A21" s="4">
        <v>4.5</v>
      </c>
      <c r="B21" s="4">
        <v>1.875</v>
      </c>
      <c r="E21" s="2">
        <v>29.5</v>
      </c>
      <c r="F21" s="2">
        <v>5</v>
      </c>
    </row>
    <row r="22" spans="1:6" x14ac:dyDescent="0.25">
      <c r="A22" s="4">
        <v>4.5</v>
      </c>
      <c r="B22" s="4">
        <v>7</v>
      </c>
      <c r="E22" s="2">
        <v>29.5</v>
      </c>
      <c r="F22" s="2">
        <v>39</v>
      </c>
    </row>
    <row r="23" spans="1:6" x14ac:dyDescent="0.25">
      <c r="A23" s="4">
        <v>9.75</v>
      </c>
      <c r="B23" s="4">
        <v>4</v>
      </c>
      <c r="E23" s="2">
        <v>47</v>
      </c>
      <c r="F23" s="2">
        <v>26.5</v>
      </c>
    </row>
    <row r="24" spans="1:6" x14ac:dyDescent="0.25">
      <c r="A24" s="4">
        <v>7.5</v>
      </c>
      <c r="B24" s="4">
        <v>14</v>
      </c>
      <c r="E24" s="2">
        <v>41.5</v>
      </c>
      <c r="F24" s="2">
        <v>58</v>
      </c>
    </row>
    <row r="25" spans="1:6" x14ac:dyDescent="0.25">
      <c r="A25" s="4">
        <v>11.25</v>
      </c>
      <c r="B25" s="4">
        <v>3</v>
      </c>
      <c r="E25" s="2">
        <v>51.5</v>
      </c>
      <c r="F25" s="2">
        <v>21</v>
      </c>
    </row>
    <row r="26" spans="1:6" x14ac:dyDescent="0.25">
      <c r="A26" s="4">
        <v>16</v>
      </c>
      <c r="B26" s="4">
        <v>2</v>
      </c>
      <c r="E26" s="2">
        <v>60</v>
      </c>
      <c r="F26" s="2">
        <v>7</v>
      </c>
    </row>
    <row r="27" spans="1:6" x14ac:dyDescent="0.25">
      <c r="A27" s="4">
        <v>13</v>
      </c>
      <c r="B27" s="4">
        <v>11.25</v>
      </c>
      <c r="E27" s="2">
        <v>55.5</v>
      </c>
      <c r="F27" s="2">
        <v>51.5</v>
      </c>
    </row>
    <row r="28" spans="1:6" x14ac:dyDescent="0.25">
      <c r="A28" s="4">
        <v>4.5</v>
      </c>
      <c r="B28" s="4">
        <v>9</v>
      </c>
      <c r="E28" s="2">
        <v>29.5</v>
      </c>
      <c r="F28" s="2">
        <v>45.5</v>
      </c>
    </row>
    <row r="29" spans="1:6" x14ac:dyDescent="0.25">
      <c r="A29" s="4">
        <v>8.25</v>
      </c>
      <c r="B29" s="4">
        <v>3</v>
      </c>
      <c r="E29" s="2">
        <v>43.5</v>
      </c>
      <c r="F29" s="2">
        <v>21</v>
      </c>
    </row>
    <row r="30" spans="1:6" x14ac:dyDescent="0.25">
      <c r="A30" s="4">
        <v>6</v>
      </c>
      <c r="B30" s="4">
        <v>1.8</v>
      </c>
      <c r="E30" s="2">
        <v>35</v>
      </c>
      <c r="F30" s="2">
        <v>3.5</v>
      </c>
    </row>
    <row r="31" spans="1:6" x14ac:dyDescent="0.25">
      <c r="A31" s="4">
        <v>10</v>
      </c>
      <c r="B31" s="4">
        <v>2.25</v>
      </c>
      <c r="E31" s="2">
        <v>48</v>
      </c>
      <c r="F31" s="2">
        <v>12</v>
      </c>
    </row>
    <row r="32" spans="1:6" x14ac:dyDescent="0.25">
      <c r="A32" s="4">
        <v>3</v>
      </c>
      <c r="B32" s="4">
        <v>7</v>
      </c>
      <c r="E32" s="2">
        <v>21</v>
      </c>
      <c r="F32" s="2">
        <v>39</v>
      </c>
    </row>
    <row r="33" spans="1:6" x14ac:dyDescent="0.25">
      <c r="D33" s="8" t="s">
        <v>23</v>
      </c>
      <c r="E33" s="9">
        <f>COUNTA(E3:E32)</f>
        <v>30</v>
      </c>
      <c r="F33" s="9">
        <f>COUNTA(F3:F32)</f>
        <v>30</v>
      </c>
    </row>
    <row r="34" spans="1:6" x14ac:dyDescent="0.25">
      <c r="A34" s="4">
        <f>MEDIAN(A3:A32)</f>
        <v>7.25</v>
      </c>
      <c r="B34" s="4">
        <f>MEDIAN(B3:B32)</f>
        <v>2.8</v>
      </c>
      <c r="D34" s="3" t="s">
        <v>24</v>
      </c>
      <c r="E34" s="2">
        <f>SUM(E3:E32)</f>
        <v>1146</v>
      </c>
      <c r="F34" s="2">
        <f>SUM(F3:F32)</f>
        <v>684</v>
      </c>
    </row>
  </sheetData>
  <mergeCells count="2">
    <mergeCell ref="A1:B1"/>
    <mergeCell ref="E1:F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showGridLines="0" zoomScaleNormal="100" workbookViewId="0">
      <selection activeCell="B4" sqref="B4"/>
    </sheetView>
  </sheetViews>
  <sheetFormatPr baseColWidth="10" defaultColWidth="9.140625" defaultRowHeight="15" customHeight="1" x14ac:dyDescent="0.25"/>
  <cols>
    <col min="1" max="7" width="9.140625" style="2"/>
    <col min="8" max="8" width="14" style="2" customWidth="1"/>
    <col min="9" max="16384" width="9.140625" style="2"/>
  </cols>
  <sheetData>
    <row r="1" spans="1:9" x14ac:dyDescent="0.25">
      <c r="A1" s="2" t="s">
        <v>25</v>
      </c>
      <c r="B1" s="2" t="s">
        <v>1</v>
      </c>
      <c r="C1" s="2" t="s">
        <v>4</v>
      </c>
      <c r="F1" s="3" t="s">
        <v>15</v>
      </c>
      <c r="G1" s="3" t="s">
        <v>16</v>
      </c>
      <c r="H1" s="3" t="s">
        <v>26</v>
      </c>
      <c r="I1" s="2">
        <f>COUNTIF(F2:F61,"&gt;0")</f>
        <v>30</v>
      </c>
    </row>
    <row r="2" spans="1:9" x14ac:dyDescent="0.25">
      <c r="A2" s="2" t="s">
        <v>16</v>
      </c>
      <c r="B2" s="4">
        <v>0.75</v>
      </c>
      <c r="C2" s="2">
        <v>1.5</v>
      </c>
      <c r="F2" s="2">
        <f t="shared" ref="F2:F33" si="0">IF(A2="CV",C2,0)</f>
        <v>0</v>
      </c>
      <c r="G2" s="2">
        <f t="shared" ref="G2:G33" si="1">IF(A2="JB",C2,0)</f>
        <v>1.5</v>
      </c>
      <c r="H2" s="3" t="s">
        <v>27</v>
      </c>
      <c r="I2" s="2">
        <f>COUNTIF(G2:G61,"&gt;0")</f>
        <v>30</v>
      </c>
    </row>
    <row r="3" spans="1:9" x14ac:dyDescent="0.25">
      <c r="A3" s="2" t="s">
        <v>16</v>
      </c>
      <c r="B3" s="4">
        <v>0.75</v>
      </c>
      <c r="C3" s="2">
        <v>1.5</v>
      </c>
      <c r="F3" s="2">
        <f t="shared" si="0"/>
        <v>0</v>
      </c>
      <c r="G3" s="2">
        <f t="shared" si="1"/>
        <v>1.5</v>
      </c>
      <c r="H3" s="3" t="s">
        <v>28</v>
      </c>
      <c r="I3" s="2">
        <f>((2^3-2)+(2^3-2)+(3^3-3)+(2^3-2)+(3^3-3)+(2^3-2)+(7^3-7)+(2^3-2)+(4^3-4)+(3^3-3)+(3^3-3)+(2^3-2)+(2^3-2)+(2^3-2)+(2^3-2)+(2^3-2)+(2^3-2))/12</f>
        <v>46.5</v>
      </c>
    </row>
    <row r="4" spans="1:9" x14ac:dyDescent="0.25">
      <c r="A4" s="2" t="s">
        <v>16</v>
      </c>
      <c r="B4" s="4">
        <v>1.8</v>
      </c>
      <c r="C4" s="2">
        <v>3.5</v>
      </c>
      <c r="F4" s="2">
        <f t="shared" si="0"/>
        <v>0</v>
      </c>
      <c r="G4" s="2">
        <f t="shared" si="1"/>
        <v>3.5</v>
      </c>
      <c r="H4" s="2" t="s">
        <v>19</v>
      </c>
      <c r="I4" s="2">
        <f>I1*I2/2</f>
        <v>450</v>
      </c>
    </row>
    <row r="5" spans="1:9" x14ac:dyDescent="0.25">
      <c r="A5" s="2" t="s">
        <v>16</v>
      </c>
      <c r="B5" s="4">
        <v>1.8</v>
      </c>
      <c r="C5" s="2">
        <v>3.5</v>
      </c>
      <c r="F5" s="2">
        <f t="shared" si="0"/>
        <v>0</v>
      </c>
      <c r="G5" s="2">
        <f t="shared" si="1"/>
        <v>3.5</v>
      </c>
      <c r="H5" s="3" t="s">
        <v>21</v>
      </c>
      <c r="I5" s="2">
        <f>30*30/(60^2-60)*((60^3-60)/12-(I3))</f>
        <v>4563.1779661016944</v>
      </c>
    </row>
    <row r="6" spans="1:9" x14ac:dyDescent="0.25">
      <c r="A6" s="2" t="s">
        <v>16</v>
      </c>
      <c r="B6" s="4">
        <v>1.875</v>
      </c>
      <c r="C6" s="2">
        <v>5</v>
      </c>
      <c r="F6" s="2">
        <f t="shared" si="0"/>
        <v>0</v>
      </c>
      <c r="G6" s="2">
        <f t="shared" si="1"/>
        <v>5</v>
      </c>
      <c r="H6" s="3" t="s">
        <v>10</v>
      </c>
      <c r="I6" s="2">
        <f>(MIN(F62:G62)-I4)/SQRT(I5)</f>
        <v>-3.4196233705532904</v>
      </c>
    </row>
    <row r="7" spans="1:9" x14ac:dyDescent="0.25">
      <c r="A7" s="2" t="s">
        <v>15</v>
      </c>
      <c r="B7" s="4">
        <v>2</v>
      </c>
      <c r="C7" s="2">
        <v>7</v>
      </c>
      <c r="F7" s="2">
        <f t="shared" si="0"/>
        <v>7</v>
      </c>
      <c r="G7" s="2">
        <f t="shared" si="1"/>
        <v>0</v>
      </c>
      <c r="H7" s="7" t="s">
        <v>22</v>
      </c>
      <c r="I7" s="2">
        <f>2*_xlfn.NORM.S.DIST(I6,TRUE())</f>
        <v>6.27078904269329E-4</v>
      </c>
    </row>
    <row r="8" spans="1:9" x14ac:dyDescent="0.25">
      <c r="A8" s="2" t="s">
        <v>16</v>
      </c>
      <c r="B8" s="4">
        <v>2</v>
      </c>
      <c r="C8" s="2">
        <v>7</v>
      </c>
      <c r="F8" s="2">
        <f t="shared" si="0"/>
        <v>0</v>
      </c>
      <c r="G8" s="2">
        <f t="shared" si="1"/>
        <v>7</v>
      </c>
    </row>
    <row r="9" spans="1:9" x14ac:dyDescent="0.25">
      <c r="A9" s="2" t="s">
        <v>16</v>
      </c>
      <c r="B9" s="4">
        <v>2</v>
      </c>
      <c r="C9" s="2">
        <v>7</v>
      </c>
      <c r="F9" s="2">
        <f t="shared" si="0"/>
        <v>0</v>
      </c>
      <c r="G9" s="2">
        <f t="shared" si="1"/>
        <v>7</v>
      </c>
    </row>
    <row r="10" spans="1:9" x14ac:dyDescent="0.25">
      <c r="A10" s="2" t="s">
        <v>15</v>
      </c>
      <c r="B10" s="4">
        <v>2.2000000000000002</v>
      </c>
      <c r="C10" s="2">
        <v>9.5</v>
      </c>
      <c r="F10" s="2">
        <f t="shared" si="0"/>
        <v>9.5</v>
      </c>
      <c r="G10" s="2">
        <f t="shared" si="1"/>
        <v>0</v>
      </c>
    </row>
    <row r="11" spans="1:9" x14ac:dyDescent="0.25">
      <c r="A11" s="2" t="s">
        <v>16</v>
      </c>
      <c r="B11" s="4">
        <v>2.2000000000000002</v>
      </c>
      <c r="C11" s="2">
        <v>9.5</v>
      </c>
      <c r="F11" s="2">
        <f t="shared" si="0"/>
        <v>0</v>
      </c>
      <c r="G11" s="2">
        <f t="shared" si="1"/>
        <v>9.5</v>
      </c>
    </row>
    <row r="12" spans="1:9" x14ac:dyDescent="0.25">
      <c r="A12" s="2" t="s">
        <v>16</v>
      </c>
      <c r="B12" s="4">
        <v>2.25</v>
      </c>
      <c r="C12" s="2">
        <v>12</v>
      </c>
      <c r="F12" s="2">
        <f t="shared" si="0"/>
        <v>0</v>
      </c>
      <c r="G12" s="2">
        <f t="shared" si="1"/>
        <v>12</v>
      </c>
    </row>
    <row r="13" spans="1:9" x14ac:dyDescent="0.25">
      <c r="A13" s="2" t="s">
        <v>16</v>
      </c>
      <c r="B13" s="4">
        <v>2.25</v>
      </c>
      <c r="C13" s="2">
        <v>12</v>
      </c>
      <c r="F13" s="2">
        <f t="shared" si="0"/>
        <v>0</v>
      </c>
      <c r="G13" s="2">
        <f t="shared" si="1"/>
        <v>12</v>
      </c>
    </row>
    <row r="14" spans="1:9" x14ac:dyDescent="0.25">
      <c r="A14" s="2" t="s">
        <v>16</v>
      </c>
      <c r="B14" s="4">
        <v>2.25</v>
      </c>
      <c r="C14" s="2">
        <v>12</v>
      </c>
      <c r="F14" s="2">
        <f t="shared" si="0"/>
        <v>0</v>
      </c>
      <c r="G14" s="2">
        <f t="shared" si="1"/>
        <v>12</v>
      </c>
    </row>
    <row r="15" spans="1:9" x14ac:dyDescent="0.25">
      <c r="A15" s="2" t="s">
        <v>16</v>
      </c>
      <c r="B15" s="4">
        <v>2.5</v>
      </c>
      <c r="C15" s="2">
        <v>14.5</v>
      </c>
      <c r="F15" s="2">
        <f t="shared" si="0"/>
        <v>0</v>
      </c>
      <c r="G15" s="2">
        <f t="shared" si="1"/>
        <v>14.5</v>
      </c>
    </row>
    <row r="16" spans="1:9" x14ac:dyDescent="0.25">
      <c r="A16" s="2" t="s">
        <v>16</v>
      </c>
      <c r="B16" s="4">
        <v>2.5</v>
      </c>
      <c r="C16" s="2">
        <v>14.5</v>
      </c>
      <c r="F16" s="2">
        <f t="shared" si="0"/>
        <v>0</v>
      </c>
      <c r="G16" s="2">
        <f t="shared" si="1"/>
        <v>14.5</v>
      </c>
    </row>
    <row r="17" spans="1:7" x14ac:dyDescent="0.25">
      <c r="A17" s="2" t="s">
        <v>16</v>
      </c>
      <c r="B17" s="4">
        <v>2.5499999999999998</v>
      </c>
      <c r="C17" s="2">
        <v>16</v>
      </c>
      <c r="F17" s="2">
        <f t="shared" si="0"/>
        <v>0</v>
      </c>
      <c r="G17" s="2">
        <f t="shared" si="1"/>
        <v>16</v>
      </c>
    </row>
    <row r="18" spans="1:7" x14ac:dyDescent="0.25">
      <c r="A18" s="2" t="s">
        <v>16</v>
      </c>
      <c r="B18" s="4">
        <v>2.6</v>
      </c>
      <c r="C18" s="2">
        <v>17</v>
      </c>
      <c r="F18" s="2">
        <f t="shared" si="0"/>
        <v>0</v>
      </c>
      <c r="G18" s="2">
        <f t="shared" si="1"/>
        <v>17</v>
      </c>
    </row>
    <row r="19" spans="1:7" x14ac:dyDescent="0.25">
      <c r="A19" s="2" t="s">
        <v>15</v>
      </c>
      <c r="B19" s="4">
        <v>3</v>
      </c>
      <c r="C19" s="2">
        <v>21</v>
      </c>
      <c r="F19" s="2">
        <f t="shared" si="0"/>
        <v>21</v>
      </c>
      <c r="G19" s="2">
        <f t="shared" si="1"/>
        <v>0</v>
      </c>
    </row>
    <row r="20" spans="1:7" x14ac:dyDescent="0.25">
      <c r="A20" s="2" t="s">
        <v>15</v>
      </c>
      <c r="B20" s="4">
        <v>3</v>
      </c>
      <c r="C20" s="2">
        <v>21</v>
      </c>
      <c r="F20" s="2">
        <f t="shared" si="0"/>
        <v>21</v>
      </c>
      <c r="G20" s="2">
        <f t="shared" si="1"/>
        <v>0</v>
      </c>
    </row>
    <row r="21" spans="1:7" x14ac:dyDescent="0.25">
      <c r="A21" s="2" t="s">
        <v>15</v>
      </c>
      <c r="B21" s="4">
        <v>3</v>
      </c>
      <c r="C21" s="2">
        <v>21</v>
      </c>
      <c r="F21" s="2">
        <f t="shared" si="0"/>
        <v>21</v>
      </c>
      <c r="G21" s="2">
        <f t="shared" si="1"/>
        <v>0</v>
      </c>
    </row>
    <row r="22" spans="1:7" x14ac:dyDescent="0.25">
      <c r="A22" s="2" t="s">
        <v>15</v>
      </c>
      <c r="B22" s="4">
        <v>3</v>
      </c>
      <c r="C22" s="2">
        <v>21</v>
      </c>
      <c r="F22" s="2">
        <f t="shared" si="0"/>
        <v>21</v>
      </c>
      <c r="G22" s="2">
        <f t="shared" si="1"/>
        <v>0</v>
      </c>
    </row>
    <row r="23" spans="1:7" x14ac:dyDescent="0.25">
      <c r="A23" s="2" t="s">
        <v>16</v>
      </c>
      <c r="B23" s="4">
        <v>3</v>
      </c>
      <c r="C23" s="2">
        <v>21</v>
      </c>
      <c r="F23" s="2">
        <f t="shared" si="0"/>
        <v>0</v>
      </c>
      <c r="G23" s="2">
        <f t="shared" si="1"/>
        <v>21</v>
      </c>
    </row>
    <row r="24" spans="1:7" x14ac:dyDescent="0.25">
      <c r="A24" s="2" t="s">
        <v>16</v>
      </c>
      <c r="B24" s="4">
        <v>3</v>
      </c>
      <c r="C24" s="2">
        <v>21</v>
      </c>
      <c r="F24" s="2">
        <f t="shared" si="0"/>
        <v>0</v>
      </c>
      <c r="G24" s="2">
        <f t="shared" si="1"/>
        <v>21</v>
      </c>
    </row>
    <row r="25" spans="1:7" x14ac:dyDescent="0.25">
      <c r="A25" s="2" t="s">
        <v>16</v>
      </c>
      <c r="B25" s="4">
        <v>3</v>
      </c>
      <c r="C25" s="2">
        <v>21</v>
      </c>
      <c r="F25" s="2">
        <f t="shared" si="0"/>
        <v>0</v>
      </c>
      <c r="G25" s="2">
        <f t="shared" si="1"/>
        <v>21</v>
      </c>
    </row>
    <row r="26" spans="1:7" x14ac:dyDescent="0.25">
      <c r="A26" s="2" t="s">
        <v>16</v>
      </c>
      <c r="B26" s="4">
        <v>3.3</v>
      </c>
      <c r="C26" s="2">
        <v>25</v>
      </c>
      <c r="F26" s="2">
        <f t="shared" si="0"/>
        <v>0</v>
      </c>
      <c r="G26" s="2">
        <f t="shared" si="1"/>
        <v>25</v>
      </c>
    </row>
    <row r="27" spans="1:7" x14ac:dyDescent="0.25">
      <c r="A27" s="2" t="s">
        <v>16</v>
      </c>
      <c r="B27" s="4">
        <v>4</v>
      </c>
      <c r="C27" s="2">
        <v>26.5</v>
      </c>
      <c r="F27" s="2">
        <f t="shared" si="0"/>
        <v>0</v>
      </c>
      <c r="G27" s="2">
        <f t="shared" si="1"/>
        <v>26.5</v>
      </c>
    </row>
    <row r="28" spans="1:7" x14ac:dyDescent="0.25">
      <c r="A28" s="2" t="s">
        <v>16</v>
      </c>
      <c r="B28" s="4">
        <v>4</v>
      </c>
      <c r="C28" s="2">
        <v>26.5</v>
      </c>
      <c r="F28" s="2">
        <f t="shared" si="0"/>
        <v>0</v>
      </c>
      <c r="G28" s="2">
        <f t="shared" si="1"/>
        <v>26.5</v>
      </c>
    </row>
    <row r="29" spans="1:7" x14ac:dyDescent="0.25">
      <c r="A29" s="2" t="s">
        <v>15</v>
      </c>
      <c r="B29" s="4">
        <v>4.5</v>
      </c>
      <c r="C29" s="2">
        <v>29.5</v>
      </c>
      <c r="F29" s="2">
        <f t="shared" si="0"/>
        <v>29.5</v>
      </c>
      <c r="G29" s="2">
        <f t="shared" si="1"/>
        <v>0</v>
      </c>
    </row>
    <row r="30" spans="1:7" x14ac:dyDescent="0.25">
      <c r="A30" s="2" t="s">
        <v>15</v>
      </c>
      <c r="B30" s="4">
        <v>4.5</v>
      </c>
      <c r="C30" s="2">
        <v>29.5</v>
      </c>
      <c r="F30" s="2">
        <f t="shared" si="0"/>
        <v>29.5</v>
      </c>
      <c r="G30" s="2">
        <f t="shared" si="1"/>
        <v>0</v>
      </c>
    </row>
    <row r="31" spans="1:7" x14ac:dyDescent="0.25">
      <c r="A31" s="2" t="s">
        <v>15</v>
      </c>
      <c r="B31" s="4">
        <v>4.5</v>
      </c>
      <c r="C31" s="2">
        <v>29.5</v>
      </c>
      <c r="F31" s="2">
        <f t="shared" si="0"/>
        <v>29.5</v>
      </c>
      <c r="G31" s="2">
        <f t="shared" si="1"/>
        <v>0</v>
      </c>
    </row>
    <row r="32" spans="1:7" x14ac:dyDescent="0.25">
      <c r="A32" s="2" t="s">
        <v>15</v>
      </c>
      <c r="B32" s="4">
        <v>4.5</v>
      </c>
      <c r="C32" s="2">
        <v>29.5</v>
      </c>
      <c r="F32" s="2">
        <f t="shared" si="0"/>
        <v>29.5</v>
      </c>
      <c r="G32" s="2">
        <f t="shared" si="1"/>
        <v>0</v>
      </c>
    </row>
    <row r="33" spans="1:7" x14ac:dyDescent="0.25">
      <c r="A33" s="2" t="s">
        <v>15</v>
      </c>
      <c r="B33" s="4">
        <v>5</v>
      </c>
      <c r="C33" s="2">
        <v>32</v>
      </c>
      <c r="F33" s="2">
        <f t="shared" si="0"/>
        <v>32</v>
      </c>
      <c r="G33" s="2">
        <f t="shared" si="1"/>
        <v>0</v>
      </c>
    </row>
    <row r="34" spans="1:7" x14ac:dyDescent="0.25">
      <c r="A34" s="2" t="s">
        <v>16</v>
      </c>
      <c r="B34" s="4">
        <v>5.25</v>
      </c>
      <c r="C34" s="2">
        <v>33</v>
      </c>
      <c r="F34" s="2">
        <f t="shared" ref="F34:F61" si="2">IF(A34="CV",C34,0)</f>
        <v>0</v>
      </c>
      <c r="G34" s="2">
        <f t="shared" ref="G34:G61" si="3">IF(A34="JB",C34,0)</f>
        <v>33</v>
      </c>
    </row>
    <row r="35" spans="1:7" x14ac:dyDescent="0.25">
      <c r="A35" s="2" t="s">
        <v>15</v>
      </c>
      <c r="B35" s="4">
        <v>6</v>
      </c>
      <c r="C35" s="2">
        <v>35</v>
      </c>
      <c r="F35" s="2">
        <f t="shared" si="2"/>
        <v>35</v>
      </c>
      <c r="G35" s="2">
        <f t="shared" si="3"/>
        <v>0</v>
      </c>
    </row>
    <row r="36" spans="1:7" x14ac:dyDescent="0.25">
      <c r="A36" s="2" t="s">
        <v>15</v>
      </c>
      <c r="B36" s="4">
        <v>6</v>
      </c>
      <c r="C36" s="2">
        <v>35</v>
      </c>
      <c r="F36" s="2">
        <f t="shared" si="2"/>
        <v>35</v>
      </c>
      <c r="G36" s="2">
        <f t="shared" si="3"/>
        <v>0</v>
      </c>
    </row>
    <row r="37" spans="1:7" x14ac:dyDescent="0.25">
      <c r="A37" s="2" t="s">
        <v>16</v>
      </c>
      <c r="B37" s="4">
        <v>6</v>
      </c>
      <c r="C37" s="2">
        <v>35</v>
      </c>
      <c r="F37" s="2">
        <f t="shared" si="2"/>
        <v>0</v>
      </c>
      <c r="G37" s="2">
        <f t="shared" si="3"/>
        <v>35</v>
      </c>
    </row>
    <row r="38" spans="1:7" x14ac:dyDescent="0.25">
      <c r="A38" s="2" t="s">
        <v>15</v>
      </c>
      <c r="B38" s="4">
        <v>6.75</v>
      </c>
      <c r="C38" s="2">
        <v>37</v>
      </c>
      <c r="F38" s="2">
        <f t="shared" si="2"/>
        <v>37</v>
      </c>
      <c r="G38" s="2">
        <f t="shared" si="3"/>
        <v>0</v>
      </c>
    </row>
    <row r="39" spans="1:7" x14ac:dyDescent="0.25">
      <c r="A39" s="2" t="s">
        <v>15</v>
      </c>
      <c r="B39" s="4">
        <v>7</v>
      </c>
      <c r="C39" s="2">
        <v>39</v>
      </c>
      <c r="F39" s="2">
        <f t="shared" si="2"/>
        <v>39</v>
      </c>
      <c r="G39" s="2">
        <f t="shared" si="3"/>
        <v>0</v>
      </c>
    </row>
    <row r="40" spans="1:7" x14ac:dyDescent="0.25">
      <c r="A40" s="2" t="s">
        <v>16</v>
      </c>
      <c r="B40" s="4">
        <v>7</v>
      </c>
      <c r="C40" s="2">
        <v>39</v>
      </c>
      <c r="F40" s="2">
        <f t="shared" si="2"/>
        <v>0</v>
      </c>
      <c r="G40" s="2">
        <f t="shared" si="3"/>
        <v>39</v>
      </c>
    </row>
    <row r="41" spans="1:7" x14ac:dyDescent="0.25">
      <c r="A41" s="2" t="s">
        <v>16</v>
      </c>
      <c r="B41" s="4">
        <v>7</v>
      </c>
      <c r="C41" s="2">
        <v>39</v>
      </c>
      <c r="F41" s="2">
        <f t="shared" si="2"/>
        <v>0</v>
      </c>
      <c r="G41" s="2">
        <f t="shared" si="3"/>
        <v>39</v>
      </c>
    </row>
    <row r="42" spans="1:7" x14ac:dyDescent="0.25">
      <c r="A42" s="2" t="s">
        <v>15</v>
      </c>
      <c r="B42" s="4">
        <v>7.5</v>
      </c>
      <c r="C42" s="2">
        <v>41.5</v>
      </c>
      <c r="F42" s="2">
        <f t="shared" si="2"/>
        <v>41.5</v>
      </c>
      <c r="G42" s="2">
        <f t="shared" si="3"/>
        <v>0</v>
      </c>
    </row>
    <row r="43" spans="1:7" x14ac:dyDescent="0.25">
      <c r="A43" s="2" t="s">
        <v>15</v>
      </c>
      <c r="B43" s="4">
        <v>7.5</v>
      </c>
      <c r="C43" s="2">
        <v>41.5</v>
      </c>
      <c r="F43" s="2">
        <f t="shared" si="2"/>
        <v>41.5</v>
      </c>
      <c r="G43" s="2">
        <f t="shared" si="3"/>
        <v>0</v>
      </c>
    </row>
    <row r="44" spans="1:7" x14ac:dyDescent="0.25">
      <c r="A44" s="2" t="s">
        <v>15</v>
      </c>
      <c r="B44" s="4">
        <v>8.25</v>
      </c>
      <c r="C44" s="2">
        <v>43.5</v>
      </c>
      <c r="F44" s="2">
        <f t="shared" si="2"/>
        <v>43.5</v>
      </c>
      <c r="G44" s="2">
        <f t="shared" si="3"/>
        <v>0</v>
      </c>
    </row>
    <row r="45" spans="1:7" x14ac:dyDescent="0.25">
      <c r="A45" s="2" t="s">
        <v>15</v>
      </c>
      <c r="B45" s="4">
        <v>8.25</v>
      </c>
      <c r="C45" s="2">
        <v>43.5</v>
      </c>
      <c r="F45" s="2">
        <f t="shared" si="2"/>
        <v>43.5</v>
      </c>
      <c r="G45" s="2">
        <f t="shared" si="3"/>
        <v>0</v>
      </c>
    </row>
    <row r="46" spans="1:7" x14ac:dyDescent="0.25">
      <c r="A46" s="2" t="s">
        <v>15</v>
      </c>
      <c r="B46" s="4">
        <v>9</v>
      </c>
      <c r="C46" s="2">
        <v>45.5</v>
      </c>
      <c r="F46" s="2">
        <f t="shared" si="2"/>
        <v>45.5</v>
      </c>
      <c r="G46" s="2">
        <f t="shared" si="3"/>
        <v>0</v>
      </c>
    </row>
    <row r="47" spans="1:7" x14ac:dyDescent="0.25">
      <c r="A47" s="2" t="s">
        <v>16</v>
      </c>
      <c r="B47" s="4">
        <v>9</v>
      </c>
      <c r="C47" s="2">
        <v>45.5</v>
      </c>
      <c r="F47" s="2">
        <f t="shared" si="2"/>
        <v>0</v>
      </c>
      <c r="G47" s="2">
        <f t="shared" si="3"/>
        <v>45.5</v>
      </c>
    </row>
    <row r="48" spans="1:7" x14ac:dyDescent="0.25">
      <c r="A48" s="2" t="s">
        <v>15</v>
      </c>
      <c r="B48" s="4">
        <v>9.75</v>
      </c>
      <c r="C48" s="2">
        <v>47</v>
      </c>
      <c r="F48" s="2">
        <f t="shared" si="2"/>
        <v>47</v>
      </c>
      <c r="G48" s="2">
        <f t="shared" si="3"/>
        <v>0</v>
      </c>
    </row>
    <row r="49" spans="1:7" x14ac:dyDescent="0.25">
      <c r="A49" s="2" t="s">
        <v>15</v>
      </c>
      <c r="B49" s="4">
        <v>10</v>
      </c>
      <c r="C49" s="2">
        <v>48</v>
      </c>
      <c r="F49" s="2">
        <f t="shared" si="2"/>
        <v>48</v>
      </c>
      <c r="G49" s="2">
        <f t="shared" si="3"/>
        <v>0</v>
      </c>
    </row>
    <row r="50" spans="1:7" x14ac:dyDescent="0.25">
      <c r="A50" s="2" t="s">
        <v>15</v>
      </c>
      <c r="B50" s="4">
        <v>10.5</v>
      </c>
      <c r="C50" s="2">
        <v>49</v>
      </c>
      <c r="F50" s="2">
        <f t="shared" si="2"/>
        <v>49</v>
      </c>
      <c r="G50" s="2">
        <f t="shared" si="3"/>
        <v>0</v>
      </c>
    </row>
    <row r="51" spans="1:7" x14ac:dyDescent="0.25">
      <c r="A51" s="2" t="s">
        <v>16</v>
      </c>
      <c r="B51" s="4">
        <v>11</v>
      </c>
      <c r="C51" s="2">
        <v>50</v>
      </c>
      <c r="F51" s="2">
        <f t="shared" si="2"/>
        <v>0</v>
      </c>
      <c r="G51" s="2">
        <f t="shared" si="3"/>
        <v>50</v>
      </c>
    </row>
    <row r="52" spans="1:7" x14ac:dyDescent="0.25">
      <c r="A52" s="2" t="s">
        <v>15</v>
      </c>
      <c r="B52" s="4">
        <v>11.25</v>
      </c>
      <c r="C52" s="2">
        <v>51.5</v>
      </c>
      <c r="F52" s="2">
        <f t="shared" si="2"/>
        <v>51.5</v>
      </c>
      <c r="G52" s="2">
        <f t="shared" si="3"/>
        <v>0</v>
      </c>
    </row>
    <row r="53" spans="1:7" x14ac:dyDescent="0.25">
      <c r="A53" s="2" t="s">
        <v>16</v>
      </c>
      <c r="B53" s="4">
        <v>11.25</v>
      </c>
      <c r="C53" s="2">
        <v>51.5</v>
      </c>
      <c r="F53" s="2">
        <f t="shared" si="2"/>
        <v>0</v>
      </c>
      <c r="G53" s="2">
        <f t="shared" si="3"/>
        <v>51.5</v>
      </c>
    </row>
    <row r="54" spans="1:7" x14ac:dyDescent="0.25">
      <c r="A54" s="2" t="s">
        <v>15</v>
      </c>
      <c r="B54" s="4">
        <v>12</v>
      </c>
      <c r="C54" s="2">
        <v>53.5</v>
      </c>
      <c r="F54" s="2">
        <f t="shared" si="2"/>
        <v>53.5</v>
      </c>
      <c r="G54" s="2">
        <f t="shared" si="3"/>
        <v>0</v>
      </c>
    </row>
    <row r="55" spans="1:7" x14ac:dyDescent="0.25">
      <c r="A55" s="2" t="s">
        <v>15</v>
      </c>
      <c r="B55" s="4">
        <v>12</v>
      </c>
      <c r="C55" s="2">
        <v>53.5</v>
      </c>
      <c r="F55" s="2">
        <f t="shared" si="2"/>
        <v>53.5</v>
      </c>
      <c r="G55" s="2">
        <f t="shared" si="3"/>
        <v>0</v>
      </c>
    </row>
    <row r="56" spans="1:7" x14ac:dyDescent="0.25">
      <c r="A56" s="2" t="s">
        <v>15</v>
      </c>
      <c r="B56" s="4">
        <v>13</v>
      </c>
      <c r="C56" s="2">
        <v>55.5</v>
      </c>
      <c r="F56" s="2">
        <f t="shared" si="2"/>
        <v>55.5</v>
      </c>
      <c r="G56" s="2">
        <f t="shared" si="3"/>
        <v>0</v>
      </c>
    </row>
    <row r="57" spans="1:7" x14ac:dyDescent="0.25">
      <c r="A57" s="2" t="s">
        <v>16</v>
      </c>
      <c r="B57" s="4">
        <v>13</v>
      </c>
      <c r="C57" s="2">
        <v>55.5</v>
      </c>
      <c r="F57" s="2">
        <f t="shared" si="2"/>
        <v>0</v>
      </c>
      <c r="G57" s="2">
        <f t="shared" si="3"/>
        <v>55.5</v>
      </c>
    </row>
    <row r="58" spans="1:7" x14ac:dyDescent="0.25">
      <c r="A58" s="2" t="s">
        <v>15</v>
      </c>
      <c r="B58" s="4">
        <v>13.5</v>
      </c>
      <c r="C58" s="2">
        <v>57</v>
      </c>
      <c r="F58" s="2">
        <f t="shared" si="2"/>
        <v>57</v>
      </c>
      <c r="G58" s="2">
        <f t="shared" si="3"/>
        <v>0</v>
      </c>
    </row>
    <row r="59" spans="1:7" x14ac:dyDescent="0.25">
      <c r="A59" s="2" t="s">
        <v>16</v>
      </c>
      <c r="B59" s="4">
        <v>14</v>
      </c>
      <c r="C59" s="2">
        <v>58</v>
      </c>
      <c r="F59" s="2">
        <f t="shared" si="2"/>
        <v>0</v>
      </c>
      <c r="G59" s="2">
        <f t="shared" si="3"/>
        <v>58</v>
      </c>
    </row>
    <row r="60" spans="1:7" x14ac:dyDescent="0.25">
      <c r="A60" s="2" t="s">
        <v>15</v>
      </c>
      <c r="B60" s="4">
        <v>15</v>
      </c>
      <c r="C60" s="2">
        <v>59</v>
      </c>
      <c r="F60" s="2">
        <f t="shared" si="2"/>
        <v>59</v>
      </c>
      <c r="G60" s="2">
        <f t="shared" si="3"/>
        <v>0</v>
      </c>
    </row>
    <row r="61" spans="1:7" x14ac:dyDescent="0.25">
      <c r="A61" s="2" t="s">
        <v>15</v>
      </c>
      <c r="B61" s="4">
        <v>16</v>
      </c>
      <c r="C61" s="2">
        <v>60</v>
      </c>
      <c r="F61" s="5">
        <f t="shared" si="2"/>
        <v>60</v>
      </c>
      <c r="G61" s="5">
        <f t="shared" si="3"/>
        <v>0</v>
      </c>
    </row>
    <row r="62" spans="1:7" x14ac:dyDescent="0.25">
      <c r="E62" s="3" t="s">
        <v>29</v>
      </c>
      <c r="F62" s="2">
        <f>$I$1*$I$2+(I1*(I1+1))/2-SUM(F2:F61)</f>
        <v>219</v>
      </c>
      <c r="G62" s="2">
        <f>$I$1*$I$2+(I2*(I2+1))/2-SUM(G2:G61)</f>
        <v>681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showGridLines="0" tabSelected="1" zoomScaleNormal="100" workbookViewId="0">
      <selection activeCell="B11" sqref="B11"/>
    </sheetView>
  </sheetViews>
  <sheetFormatPr baseColWidth="10" defaultColWidth="11.42578125" defaultRowHeight="15" customHeight="1" x14ac:dyDescent="0.25"/>
  <cols>
    <col min="1" max="1" width="14.28515625" style="2" customWidth="1"/>
    <col min="2" max="16384" width="11.42578125" style="2"/>
  </cols>
  <sheetData>
    <row r="1" spans="1:9" x14ac:dyDescent="0.25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7</v>
      </c>
      <c r="I1" s="2" t="s">
        <v>37</v>
      </c>
    </row>
    <row r="2" spans="1:9" x14ac:dyDescent="0.25">
      <c r="A2" s="2">
        <v>1</v>
      </c>
      <c r="B2" s="2">
        <v>38.51</v>
      </c>
      <c r="C2" s="2">
        <v>39.32</v>
      </c>
      <c r="D2" s="2">
        <f>Tabla2[[#This Row],[brain]]-Tabla2[[#This Row],[carotid]]</f>
        <v>0.81000000000000227</v>
      </c>
      <c r="E2" s="2">
        <f>ABS(Tabla2[[#This Row],[diff]])</f>
        <v>0.81000000000000227</v>
      </c>
      <c r="F2" s="2">
        <v>5</v>
      </c>
      <c r="G2" s="2">
        <f>Tabla2[[#This Row],[ranking]]^2</f>
        <v>25</v>
      </c>
      <c r="H2" s="2">
        <f>IF(Tabla2[[#This Row],[ranking]]&gt;0,Tabla2[[#This Row],[ranking]],0)</f>
        <v>5</v>
      </c>
      <c r="I2" s="2">
        <f>IF(Tabla2[[#This Row],[ranking]]&lt;0,Tabla2[[#This Row],[ranking]],0)</f>
        <v>0</v>
      </c>
    </row>
    <row r="3" spans="1:9" x14ac:dyDescent="0.25">
      <c r="A3" s="2">
        <v>2</v>
      </c>
      <c r="B3" s="2">
        <v>38.450000000000003</v>
      </c>
      <c r="C3" s="2">
        <v>39.21</v>
      </c>
      <c r="D3" s="2">
        <f>Tabla2[[#This Row],[brain]]-Tabla2[[#This Row],[carotid]]</f>
        <v>0.75999999999999801</v>
      </c>
      <c r="E3" s="2">
        <f>ABS(Tabla2[[#This Row],[diff]])</f>
        <v>0.75999999999999801</v>
      </c>
      <c r="F3" s="2">
        <v>3.5</v>
      </c>
      <c r="G3" s="2">
        <f>Tabla2[[#This Row],[ranking]]^2</f>
        <v>12.25</v>
      </c>
      <c r="H3" s="2">
        <f>IF(Tabla2[[#This Row],[ranking]]&gt;0,Tabla2[[#This Row],[ranking]],0)</f>
        <v>3.5</v>
      </c>
      <c r="I3" s="2">
        <f>IF(Tabla2[[#This Row],[ranking]]&lt;0,Tabla2[[#This Row],[ranking]],0)</f>
        <v>0</v>
      </c>
    </row>
    <row r="4" spans="1:9" x14ac:dyDescent="0.25">
      <c r="A4" s="2">
        <v>3</v>
      </c>
      <c r="B4" s="2">
        <v>38.270000000000003</v>
      </c>
      <c r="C4" s="2">
        <v>39.200000000000003</v>
      </c>
      <c r="D4" s="2">
        <f>Tabla2[[#This Row],[brain]]-Tabla2[[#This Row],[carotid]]</f>
        <v>0.92999999999999972</v>
      </c>
      <c r="E4" s="2">
        <f>ABS(Tabla2[[#This Row],[diff]])</f>
        <v>0.92999999999999972</v>
      </c>
      <c r="F4" s="2">
        <v>6</v>
      </c>
      <c r="G4" s="2">
        <f>Tabla2[[#This Row],[ranking]]^2</f>
        <v>36</v>
      </c>
      <c r="H4" s="2">
        <f>IF(Tabla2[[#This Row],[ranking]]&gt;0,Tabla2[[#This Row],[ranking]],0)</f>
        <v>6</v>
      </c>
      <c r="I4" s="2">
        <f>IF(Tabla2[[#This Row],[ranking]]&lt;0,Tabla2[[#This Row],[ranking]],0)</f>
        <v>0</v>
      </c>
    </row>
    <row r="5" spans="1:9" x14ac:dyDescent="0.25">
      <c r="A5" s="2">
        <v>4</v>
      </c>
      <c r="B5" s="2">
        <v>38.520000000000003</v>
      </c>
      <c r="C5" s="2">
        <v>38.68</v>
      </c>
      <c r="D5" s="2">
        <f>Tabla2[[#This Row],[brain]]-Tabla2[[#This Row],[carotid]]</f>
        <v>0.15999999999999659</v>
      </c>
      <c r="E5" s="2">
        <f>ABS(Tabla2[[#This Row],[diff]])</f>
        <v>0.15999999999999659</v>
      </c>
      <c r="F5" s="2">
        <v>1</v>
      </c>
      <c r="G5" s="2">
        <f>Tabla2[[#This Row],[ranking]]^2</f>
        <v>1</v>
      </c>
      <c r="H5" s="2">
        <f>IF(Tabla2[[#This Row],[ranking]]&gt;0,Tabla2[[#This Row],[ranking]],0)</f>
        <v>1</v>
      </c>
      <c r="I5" s="2">
        <f>IF(Tabla2[[#This Row],[ranking]]&lt;0,Tabla2[[#This Row],[ranking]],0)</f>
        <v>0</v>
      </c>
    </row>
    <row r="6" spans="1:9" x14ac:dyDescent="0.25">
      <c r="A6" s="2">
        <v>5</v>
      </c>
      <c r="B6" s="2">
        <v>38.619999999999997</v>
      </c>
      <c r="C6" s="2">
        <v>39.090000000000003</v>
      </c>
      <c r="D6" s="2">
        <f>Tabla2[[#This Row],[brain]]-Tabla2[[#This Row],[carotid]]</f>
        <v>0.47000000000000597</v>
      </c>
      <c r="E6" s="2">
        <f>ABS(Tabla2[[#This Row],[diff]])</f>
        <v>0.47000000000000597</v>
      </c>
      <c r="F6" s="2">
        <v>2</v>
      </c>
      <c r="G6" s="2">
        <f>Tabla2[[#This Row],[ranking]]^2</f>
        <v>4</v>
      </c>
      <c r="H6" s="2">
        <f>IF(Tabla2[[#This Row],[ranking]]&gt;0,Tabla2[[#This Row],[ranking]],0)</f>
        <v>2</v>
      </c>
      <c r="I6" s="2">
        <f>IF(Tabla2[[#This Row],[ranking]]&lt;0,Tabla2[[#This Row],[ranking]],0)</f>
        <v>0</v>
      </c>
    </row>
    <row r="7" spans="1:9" x14ac:dyDescent="0.25">
      <c r="A7" s="2">
        <v>6</v>
      </c>
      <c r="B7" s="2">
        <v>38.18</v>
      </c>
      <c r="C7" s="2">
        <v>38.94</v>
      </c>
      <c r="D7" s="2">
        <f>Tabla2[[#This Row],[brain]]-Tabla2[[#This Row],[carotid]]</f>
        <v>0.75999999999999801</v>
      </c>
      <c r="E7" s="2">
        <f>ABS(Tabla2[[#This Row],[diff]])</f>
        <v>0.75999999999999801</v>
      </c>
      <c r="F7" s="2">
        <v>3.5</v>
      </c>
      <c r="G7" s="2">
        <f>Tabla2[[#This Row],[ranking]]^2</f>
        <v>12.25</v>
      </c>
      <c r="H7" s="2">
        <f>IF(Tabla2[[#This Row],[ranking]]&gt;0,Tabla2[[#This Row],[ranking]],0)</f>
        <v>3.5</v>
      </c>
      <c r="I7" s="2">
        <f>IF(Tabla2[[#This Row],[ranking]]&lt;0,Tabla2[[#This Row],[ranking]],0)</f>
        <v>0</v>
      </c>
    </row>
    <row r="8" spans="1:9" x14ac:dyDescent="0.25">
      <c r="F8" s="2">
        <f>SUM(Tabla2[ranking])</f>
        <v>21</v>
      </c>
      <c r="G8" s="2">
        <f>SUM(Tabla2[Ri^2])</f>
        <v>90.5</v>
      </c>
      <c r="H8" s="2">
        <f>SUM(Tabla2[Ri+])</f>
        <v>21</v>
      </c>
      <c r="I8" s="2">
        <f>SUM(Tabla2[Ri-])</f>
        <v>0</v>
      </c>
    </row>
    <row r="9" spans="1:9" x14ac:dyDescent="0.25">
      <c r="A9" s="3" t="s">
        <v>8</v>
      </c>
      <c r="B9" s="2">
        <f>MIN(Tabla2[[#Totals],[Ri+]:[Ri-]])</f>
        <v>0</v>
      </c>
      <c r="D9" s="3" t="s">
        <v>8</v>
      </c>
      <c r="E9" s="10">
        <f>Tabla2[[#Totals],[ranking]]/SQRT(Tabla2[[#Totals],[Ri^2]])</f>
        <v>2.2074709911560744</v>
      </c>
    </row>
    <row r="10" spans="1:9" x14ac:dyDescent="0.25">
      <c r="A10" s="3" t="s">
        <v>9</v>
      </c>
      <c r="B10" s="2">
        <v>-2</v>
      </c>
      <c r="D10" s="3" t="s">
        <v>10</v>
      </c>
      <c r="E10" s="4">
        <f>-_xlfn.NORM.S.INV(0.95)</f>
        <v>-1.6448536269514715</v>
      </c>
    </row>
    <row r="11" spans="1:9" x14ac:dyDescent="0.25">
      <c r="A11" s="3" t="s">
        <v>38</v>
      </c>
      <c r="B11" s="2" t="str">
        <f>IF(B9&lt;=B10,"Sí","No")</f>
        <v>No</v>
      </c>
      <c r="D11" s="7" t="s">
        <v>12</v>
      </c>
      <c r="E11" s="2">
        <f>_xlfn.NORM.S.DIST(E9,1)</f>
        <v>0.986359414261191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"/>
  <sheetViews>
    <sheetView zoomScaleNormal="100" workbookViewId="0">
      <selection activeCell="O5" sqref="O5"/>
    </sheetView>
  </sheetViews>
  <sheetFormatPr baseColWidth="10" defaultColWidth="11.42578125" defaultRowHeight="15" customHeight="1" x14ac:dyDescent="0.25"/>
  <cols>
    <col min="1" max="9" width="11.42578125" style="2"/>
    <col min="10" max="10" width="17.5703125" style="2" bestFit="1" customWidth="1"/>
    <col min="11" max="11" width="20" style="2" bestFit="1" customWidth="1"/>
    <col min="12" max="13" width="11.42578125" style="2"/>
    <col min="14" max="14" width="18.28515625" style="2" customWidth="1"/>
    <col min="15" max="16384" width="11.42578125" style="2"/>
  </cols>
  <sheetData>
    <row r="1" spans="2:18" x14ac:dyDescent="0.25">
      <c r="B1" s="2" t="s">
        <v>39</v>
      </c>
      <c r="C1" s="2" t="s">
        <v>40</v>
      </c>
      <c r="D1" s="2" t="s">
        <v>41</v>
      </c>
      <c r="F1" s="2" t="s">
        <v>44</v>
      </c>
      <c r="G1" s="2" t="s">
        <v>45</v>
      </c>
      <c r="H1" s="2" t="s">
        <v>4</v>
      </c>
      <c r="J1" s="12" t="s">
        <v>46</v>
      </c>
      <c r="K1" s="2" t="s">
        <v>47</v>
      </c>
      <c r="N1" s="15" t="s">
        <v>49</v>
      </c>
      <c r="O1" s="15" t="s">
        <v>33</v>
      </c>
      <c r="P1" s="15" t="s">
        <v>53</v>
      </c>
      <c r="Q1" s="15" t="s">
        <v>10</v>
      </c>
      <c r="R1" s="15" t="s">
        <v>22</v>
      </c>
    </row>
    <row r="2" spans="2:18" x14ac:dyDescent="0.25">
      <c r="B2" s="10">
        <v>0.94399999999999995</v>
      </c>
      <c r="C2" s="10">
        <v>1.7729999999999999</v>
      </c>
      <c r="D2" s="10">
        <v>0.35349999999999998</v>
      </c>
      <c r="F2" s="2" t="s">
        <v>41</v>
      </c>
      <c r="G2" s="10">
        <v>0.13750000000000001</v>
      </c>
      <c r="H2" s="2">
        <v>1</v>
      </c>
      <c r="J2" s="2" t="s">
        <v>40</v>
      </c>
      <c r="K2" s="13">
        <v>460</v>
      </c>
      <c r="L2" s="2">
        <f>(K2^2/15)</f>
        <v>14106.666666666666</v>
      </c>
      <c r="N2" s="16" t="s">
        <v>50</v>
      </c>
      <c r="O2" s="16">
        <f>(K2-K4)/15</f>
        <v>3.2666666666666666</v>
      </c>
      <c r="P2" s="16">
        <f>SQRT(((45*(45+1))/12)*(1/15+1/15))</f>
        <v>4.7958315233127191</v>
      </c>
      <c r="Q2" s="16">
        <f>ABS(O2)/P2</f>
        <v>0.68114708591977757</v>
      </c>
      <c r="R2" s="16">
        <f>(1-_xlfn.NORM.S.DIST(Q2,TRUE))*2</f>
        <v>0.49577842573013853</v>
      </c>
    </row>
    <row r="3" spans="2:18" x14ac:dyDescent="0.25">
      <c r="B3" s="10">
        <v>1.27</v>
      </c>
      <c r="C3" s="10">
        <v>0.20699999999999999</v>
      </c>
      <c r="D3" s="10">
        <v>0.192</v>
      </c>
      <c r="F3" s="2" t="s">
        <v>39</v>
      </c>
      <c r="G3" s="10">
        <v>0.17</v>
      </c>
      <c r="H3" s="2">
        <v>2</v>
      </c>
      <c r="J3" s="2" t="s">
        <v>41</v>
      </c>
      <c r="K3" s="13">
        <v>164</v>
      </c>
      <c r="L3" s="2">
        <f>(K3^2/15)</f>
        <v>1793.0666666666666</v>
      </c>
      <c r="N3" s="16" t="s">
        <v>51</v>
      </c>
      <c r="O3" s="16">
        <f>(K3-K4)/15</f>
        <v>-16.466666666666665</v>
      </c>
      <c r="P3" s="16">
        <f>SQRT(((45*(45+1))/12)*(1/15+1/15))</f>
        <v>4.7958315233127191</v>
      </c>
      <c r="Q3" s="16">
        <f t="shared" ref="Q3:Q4" si="0">ABS(O3)/P3</f>
        <v>3.4335373514731642</v>
      </c>
      <c r="R3" s="16">
        <f t="shared" ref="R3:R4" si="1">(1-_xlfn.NORM.S.DIST(Q3,TRUE))*2</f>
        <v>5.9576011410578111E-4</v>
      </c>
    </row>
    <row r="4" spans="2:18" x14ac:dyDescent="0.25">
      <c r="B4" s="10">
        <v>0.65649999999999997</v>
      </c>
      <c r="C4" s="10">
        <v>1.6839999999999999</v>
      </c>
      <c r="D4" s="10">
        <v>0.22600000000000001</v>
      </c>
      <c r="F4" s="2" t="s">
        <v>41</v>
      </c>
      <c r="G4" s="10">
        <v>0.192</v>
      </c>
      <c r="H4" s="2">
        <v>3</v>
      </c>
      <c r="J4" s="2" t="s">
        <v>39</v>
      </c>
      <c r="K4" s="13">
        <v>411</v>
      </c>
      <c r="L4" s="2">
        <f>(K4^2/15)</f>
        <v>11261.4</v>
      </c>
      <c r="N4" s="16" t="s">
        <v>52</v>
      </c>
      <c r="O4" s="16">
        <f>(K3-K2)/15</f>
        <v>-19.733333333333334</v>
      </c>
      <c r="P4" s="16">
        <f>SQRT(((45*(45+1))/12)*(1/15+1/15))</f>
        <v>4.7958315233127191</v>
      </c>
      <c r="Q4" s="16">
        <f t="shared" si="0"/>
        <v>4.1146844373929428</v>
      </c>
      <c r="R4" s="16">
        <f t="shared" si="1"/>
        <v>3.8770944967847498E-5</v>
      </c>
    </row>
    <row r="5" spans="2:18" x14ac:dyDescent="0.25">
      <c r="B5" s="10">
        <v>1.3745000000000001</v>
      </c>
      <c r="C5" s="10">
        <v>1.077</v>
      </c>
      <c r="D5" s="10">
        <v>0.20050000000000001</v>
      </c>
      <c r="F5" s="2" t="s">
        <v>41</v>
      </c>
      <c r="G5" s="10">
        <v>0.20050000000000001</v>
      </c>
      <c r="H5" s="2">
        <v>4</v>
      </c>
    </row>
    <row r="6" spans="2:18" x14ac:dyDescent="0.25">
      <c r="B6" s="10">
        <v>0.62949999999999995</v>
      </c>
      <c r="C6" s="10">
        <v>1.4355</v>
      </c>
      <c r="D6" s="10">
        <v>0.51300000000000001</v>
      </c>
      <c r="F6" s="2" t="s">
        <v>41</v>
      </c>
      <c r="G6" s="10">
        <v>0.20499999999999999</v>
      </c>
      <c r="H6" s="2">
        <v>5</v>
      </c>
      <c r="J6" s="2" t="s">
        <v>48</v>
      </c>
      <c r="K6" s="4">
        <f>(12/(45*(45+1)))*SUM(L2:L4)-3*(45+1)</f>
        <v>19.455845410628001</v>
      </c>
    </row>
    <row r="7" spans="2:18" x14ac:dyDescent="0.25">
      <c r="B7" s="10">
        <v>0.9325</v>
      </c>
      <c r="C7" s="10">
        <v>1.5660000000000001</v>
      </c>
      <c r="D7" s="10">
        <v>0.27700000000000002</v>
      </c>
      <c r="F7" s="2" t="s">
        <v>40</v>
      </c>
      <c r="G7" s="10">
        <v>0.20699999999999999</v>
      </c>
      <c r="H7" s="2">
        <v>6</v>
      </c>
      <c r="K7" s="14">
        <f>_xlfn.CHISQ.DIST.RT(K6,2)</f>
        <v>5.9595963939971986E-5</v>
      </c>
    </row>
    <row r="8" spans="2:18" x14ac:dyDescent="0.25">
      <c r="B8" s="10">
        <v>2.0884999999999998</v>
      </c>
      <c r="C8" s="10">
        <v>0.97750000000000004</v>
      </c>
      <c r="D8" s="10">
        <v>0.13750000000000001</v>
      </c>
      <c r="F8" s="2" t="s">
        <v>41</v>
      </c>
      <c r="G8" s="10">
        <v>0.20849999999999999</v>
      </c>
      <c r="H8" s="2">
        <v>7</v>
      </c>
    </row>
    <row r="9" spans="2:18" x14ac:dyDescent="0.25">
      <c r="B9" s="10">
        <v>1.4275</v>
      </c>
      <c r="C9" s="10">
        <v>0.84350000000000003</v>
      </c>
      <c r="D9" s="10">
        <v>0.59099999999999997</v>
      </c>
      <c r="F9" s="2" t="s">
        <v>41</v>
      </c>
      <c r="G9" s="10">
        <v>0.22600000000000001</v>
      </c>
      <c r="H9" s="2">
        <v>8</v>
      </c>
      <c r="L9"/>
    </row>
    <row r="10" spans="2:18" x14ac:dyDescent="0.25">
      <c r="B10" s="10">
        <v>2.14</v>
      </c>
      <c r="C10" s="10">
        <v>2.1030000000000002</v>
      </c>
      <c r="D10" s="10">
        <v>0.70450000000000002</v>
      </c>
      <c r="F10" s="2" t="s">
        <v>41</v>
      </c>
      <c r="G10" s="10">
        <v>0.27100000000000002</v>
      </c>
      <c r="H10" s="2">
        <v>9</v>
      </c>
      <c r="L10"/>
    </row>
    <row r="11" spans="2:18" x14ac:dyDescent="0.25">
      <c r="B11" s="10">
        <v>0.77200000000000002</v>
      </c>
      <c r="C11" s="10">
        <v>0.38400000000000001</v>
      </c>
      <c r="D11" s="10">
        <v>0.32</v>
      </c>
      <c r="F11" s="2" t="s">
        <v>41</v>
      </c>
      <c r="G11" s="10">
        <v>0.27700000000000002</v>
      </c>
      <c r="H11" s="2">
        <v>10</v>
      </c>
      <c r="L11"/>
    </row>
    <row r="12" spans="2:18" x14ac:dyDescent="0.25">
      <c r="B12" s="10">
        <v>0.17</v>
      </c>
      <c r="C12" s="10">
        <v>1.0905</v>
      </c>
      <c r="D12" s="10">
        <v>0.27100000000000002</v>
      </c>
      <c r="F12" s="2" t="s">
        <v>41</v>
      </c>
      <c r="G12" s="10">
        <v>0.30599999999999999</v>
      </c>
      <c r="H12" s="2">
        <v>11</v>
      </c>
      <c r="L12"/>
    </row>
    <row r="13" spans="2:18" x14ac:dyDescent="0.25">
      <c r="B13" s="10">
        <v>0.52300000000000002</v>
      </c>
      <c r="C13" s="10">
        <v>0.77600000000000002</v>
      </c>
      <c r="D13" s="10">
        <v>0.80249999999999999</v>
      </c>
      <c r="F13" s="2" t="s">
        <v>41</v>
      </c>
      <c r="G13" s="10">
        <v>0.32</v>
      </c>
      <c r="H13" s="2">
        <v>12</v>
      </c>
      <c r="J13"/>
      <c r="K13"/>
      <c r="L13"/>
    </row>
    <row r="14" spans="2:18" x14ac:dyDescent="0.25">
      <c r="B14" s="10">
        <v>0.51500000000000001</v>
      </c>
      <c r="C14" s="10">
        <v>0.57550000000000001</v>
      </c>
      <c r="D14" s="10">
        <v>0.30599999999999999</v>
      </c>
      <c r="F14" s="2" t="s">
        <v>41</v>
      </c>
      <c r="G14" s="10">
        <v>0.35349999999999998</v>
      </c>
      <c r="H14" s="2">
        <v>13</v>
      </c>
      <c r="J14"/>
      <c r="K14"/>
      <c r="L14"/>
    </row>
    <row r="15" spans="2:18" x14ac:dyDescent="0.25">
      <c r="B15" s="10">
        <v>1.0269999999999999</v>
      </c>
      <c r="C15" s="10">
        <v>1.7190000000000001</v>
      </c>
      <c r="D15" s="10">
        <v>0.20499999999999999</v>
      </c>
      <c r="F15" s="2" t="s">
        <v>40</v>
      </c>
      <c r="G15" s="10">
        <v>0.38400000000000001</v>
      </c>
      <c r="H15" s="2">
        <v>14</v>
      </c>
      <c r="J15"/>
      <c r="K15"/>
      <c r="L15"/>
    </row>
    <row r="16" spans="2:18" x14ac:dyDescent="0.25">
      <c r="B16" s="10">
        <v>1.024</v>
      </c>
      <c r="C16" s="10">
        <v>1.0325</v>
      </c>
      <c r="D16" s="10">
        <v>0.20849999999999999</v>
      </c>
      <c r="F16" s="2" t="s">
        <v>41</v>
      </c>
      <c r="G16" s="10">
        <v>0.51300000000000001</v>
      </c>
      <c r="H16" s="2">
        <v>15</v>
      </c>
      <c r="J16"/>
      <c r="K16"/>
      <c r="L16"/>
    </row>
    <row r="17" spans="1:12" ht="15" customHeight="1" x14ac:dyDescent="0.25">
      <c r="A17" s="11" t="s">
        <v>42</v>
      </c>
      <c r="B17" s="10">
        <f>AVERAGE(Tabla4[Macho])</f>
        <v>1.0329333333333333</v>
      </c>
      <c r="C17" s="10">
        <f>AVERAGE(Tabla4[Hembra])</f>
        <v>1.1496</v>
      </c>
      <c r="D17" s="10">
        <f>AVERAGE(Tabla4[Infante])</f>
        <v>0.35386666666666666</v>
      </c>
      <c r="F17" s="2" t="s">
        <v>39</v>
      </c>
      <c r="G17" s="10">
        <v>0.51500000000000001</v>
      </c>
      <c r="H17" s="2">
        <v>16</v>
      </c>
      <c r="J17"/>
      <c r="K17"/>
      <c r="L17"/>
    </row>
    <row r="18" spans="1:12" ht="15" customHeight="1" x14ac:dyDescent="0.25">
      <c r="A18" s="11" t="s">
        <v>43</v>
      </c>
      <c r="B18" s="2">
        <f>_xlfn.VAR.S(Tabla4[Macho])</f>
        <v>0.3094262452380952</v>
      </c>
      <c r="C18" s="2">
        <f>_xlfn.VAR.S(Tabla4[Hembra])</f>
        <v>0.30372315</v>
      </c>
      <c r="D18" s="2">
        <f>_xlfn.VAR.S(Tabla4[Infante])</f>
        <v>4.1297445238095296E-2</v>
      </c>
      <c r="F18" s="2" t="s">
        <v>39</v>
      </c>
      <c r="G18" s="10">
        <v>0.52300000000000002</v>
      </c>
      <c r="H18" s="2">
        <v>17</v>
      </c>
      <c r="J18"/>
      <c r="K18"/>
      <c r="L18"/>
    </row>
    <row r="19" spans="1:12" ht="15" customHeight="1" x14ac:dyDescent="0.25">
      <c r="F19" s="2" t="s">
        <v>40</v>
      </c>
      <c r="G19" s="10">
        <v>0.57550000000000001</v>
      </c>
      <c r="H19" s="2">
        <v>18</v>
      </c>
      <c r="J19"/>
      <c r="K19"/>
      <c r="L19"/>
    </row>
    <row r="20" spans="1:12" ht="15" customHeight="1" x14ac:dyDescent="0.25">
      <c r="F20" s="2" t="s">
        <v>41</v>
      </c>
      <c r="G20" s="10">
        <v>0.59099999999999997</v>
      </c>
      <c r="H20" s="2">
        <v>19</v>
      </c>
      <c r="J20"/>
      <c r="K20"/>
      <c r="L20"/>
    </row>
    <row r="21" spans="1:12" ht="15" customHeight="1" x14ac:dyDescent="0.25">
      <c r="F21" s="2" t="s">
        <v>39</v>
      </c>
      <c r="G21" s="10">
        <v>0.62949999999999995</v>
      </c>
      <c r="H21" s="2">
        <v>20</v>
      </c>
      <c r="J21"/>
      <c r="K21"/>
      <c r="L21"/>
    </row>
    <row r="22" spans="1:12" ht="15" customHeight="1" x14ac:dyDescent="0.25">
      <c r="F22" s="2" t="s">
        <v>39</v>
      </c>
      <c r="G22" s="10">
        <v>0.65649999999999997</v>
      </c>
      <c r="H22" s="2">
        <v>21</v>
      </c>
      <c r="J22"/>
      <c r="K22"/>
      <c r="L22"/>
    </row>
    <row r="23" spans="1:12" ht="15" customHeight="1" x14ac:dyDescent="0.25">
      <c r="F23" s="2" t="s">
        <v>41</v>
      </c>
      <c r="G23" s="10">
        <v>0.70450000000000002</v>
      </c>
      <c r="H23" s="2">
        <v>22</v>
      </c>
      <c r="J23"/>
      <c r="K23"/>
      <c r="L23"/>
    </row>
    <row r="24" spans="1:12" ht="15" customHeight="1" x14ac:dyDescent="0.25">
      <c r="F24" s="2" t="s">
        <v>39</v>
      </c>
      <c r="G24" s="10">
        <v>0.77200000000000002</v>
      </c>
      <c r="H24" s="2">
        <v>23</v>
      </c>
      <c r="J24"/>
      <c r="K24"/>
      <c r="L24"/>
    </row>
    <row r="25" spans="1:12" ht="15" customHeight="1" x14ac:dyDescent="0.25">
      <c r="F25" s="2" t="s">
        <v>40</v>
      </c>
      <c r="G25" s="10">
        <v>0.77600000000000002</v>
      </c>
      <c r="H25" s="2">
        <v>24</v>
      </c>
      <c r="J25"/>
      <c r="K25"/>
      <c r="L25"/>
    </row>
    <row r="26" spans="1:12" ht="15" customHeight="1" x14ac:dyDescent="0.25">
      <c r="F26" s="2" t="s">
        <v>41</v>
      </c>
      <c r="G26" s="10">
        <v>0.80249999999999999</v>
      </c>
      <c r="H26" s="2">
        <v>25</v>
      </c>
      <c r="J26"/>
      <c r="K26"/>
      <c r="L26"/>
    </row>
    <row r="27" spans="1:12" ht="15" customHeight="1" x14ac:dyDescent="0.25">
      <c r="F27" s="2" t="s">
        <v>40</v>
      </c>
      <c r="G27" s="10">
        <v>0.84350000000000003</v>
      </c>
      <c r="H27" s="2">
        <v>26</v>
      </c>
    </row>
    <row r="28" spans="1:12" ht="15" customHeight="1" x14ac:dyDescent="0.25">
      <c r="F28" s="2" t="s">
        <v>39</v>
      </c>
      <c r="G28" s="10">
        <v>0.9325</v>
      </c>
      <c r="H28" s="2">
        <v>27</v>
      </c>
    </row>
    <row r="29" spans="1:12" ht="15" customHeight="1" x14ac:dyDescent="0.25">
      <c r="F29" s="2" t="s">
        <v>39</v>
      </c>
      <c r="G29" s="10">
        <v>0.94399999999999995</v>
      </c>
      <c r="H29" s="2">
        <v>28</v>
      </c>
    </row>
    <row r="30" spans="1:12" ht="15" customHeight="1" x14ac:dyDescent="0.25">
      <c r="F30" s="2" t="s">
        <v>40</v>
      </c>
      <c r="G30" s="10">
        <v>0.97750000000000004</v>
      </c>
      <c r="H30" s="2">
        <v>29</v>
      </c>
    </row>
    <row r="31" spans="1:12" ht="15" customHeight="1" x14ac:dyDescent="0.25">
      <c r="F31" s="2" t="s">
        <v>39</v>
      </c>
      <c r="G31" s="10">
        <v>1.024</v>
      </c>
      <c r="H31" s="2">
        <v>30</v>
      </c>
    </row>
    <row r="32" spans="1:12" ht="15" customHeight="1" x14ac:dyDescent="0.25">
      <c r="F32" s="2" t="s">
        <v>39</v>
      </c>
      <c r="G32" s="10">
        <v>1.0269999999999999</v>
      </c>
      <c r="H32" s="2">
        <v>31</v>
      </c>
    </row>
    <row r="33" spans="6:8" ht="15" customHeight="1" x14ac:dyDescent="0.25">
      <c r="F33" s="2" t="s">
        <v>40</v>
      </c>
      <c r="G33" s="10">
        <v>1.0325</v>
      </c>
      <c r="H33" s="2">
        <v>32</v>
      </c>
    </row>
    <row r="34" spans="6:8" ht="15" customHeight="1" x14ac:dyDescent="0.25">
      <c r="F34" s="2" t="s">
        <v>40</v>
      </c>
      <c r="G34" s="10">
        <v>1.077</v>
      </c>
      <c r="H34" s="2">
        <v>33</v>
      </c>
    </row>
    <row r="35" spans="6:8" ht="15" customHeight="1" x14ac:dyDescent="0.25">
      <c r="F35" s="2" t="s">
        <v>40</v>
      </c>
      <c r="G35" s="10">
        <v>1.0905</v>
      </c>
      <c r="H35" s="2">
        <v>34</v>
      </c>
    </row>
    <row r="36" spans="6:8" ht="15" customHeight="1" x14ac:dyDescent="0.25">
      <c r="F36" s="2" t="s">
        <v>39</v>
      </c>
      <c r="G36" s="10">
        <v>1.27</v>
      </c>
      <c r="H36" s="2">
        <v>35</v>
      </c>
    </row>
    <row r="37" spans="6:8" ht="15" customHeight="1" x14ac:dyDescent="0.25">
      <c r="F37" s="2" t="s">
        <v>39</v>
      </c>
      <c r="G37" s="10">
        <v>1.3745000000000001</v>
      </c>
      <c r="H37" s="2">
        <v>36</v>
      </c>
    </row>
    <row r="38" spans="6:8" ht="15" customHeight="1" x14ac:dyDescent="0.25">
      <c r="F38" s="2" t="s">
        <v>39</v>
      </c>
      <c r="G38" s="10">
        <v>1.4275</v>
      </c>
      <c r="H38" s="2">
        <v>37</v>
      </c>
    </row>
    <row r="39" spans="6:8" ht="15" customHeight="1" x14ac:dyDescent="0.25">
      <c r="F39" s="2" t="s">
        <v>40</v>
      </c>
      <c r="G39" s="10">
        <v>1.4355</v>
      </c>
      <c r="H39" s="2">
        <v>38</v>
      </c>
    </row>
    <row r="40" spans="6:8" ht="15" customHeight="1" x14ac:dyDescent="0.25">
      <c r="F40" s="2" t="s">
        <v>40</v>
      </c>
      <c r="G40" s="10">
        <v>1.5660000000000001</v>
      </c>
      <c r="H40" s="2">
        <v>39</v>
      </c>
    </row>
    <row r="41" spans="6:8" ht="15" customHeight="1" x14ac:dyDescent="0.25">
      <c r="F41" s="2" t="s">
        <v>40</v>
      </c>
      <c r="G41" s="10">
        <v>1.6839999999999999</v>
      </c>
      <c r="H41" s="2">
        <v>40</v>
      </c>
    </row>
    <row r="42" spans="6:8" ht="15" customHeight="1" x14ac:dyDescent="0.25">
      <c r="F42" s="2" t="s">
        <v>40</v>
      </c>
      <c r="G42" s="10">
        <v>1.7190000000000001</v>
      </c>
      <c r="H42" s="2">
        <v>41</v>
      </c>
    </row>
    <row r="43" spans="6:8" ht="15" customHeight="1" x14ac:dyDescent="0.25">
      <c r="F43" s="2" t="s">
        <v>40</v>
      </c>
      <c r="G43" s="10">
        <v>1.7729999999999999</v>
      </c>
      <c r="H43" s="2">
        <v>42</v>
      </c>
    </row>
    <row r="44" spans="6:8" ht="15" customHeight="1" x14ac:dyDescent="0.25">
      <c r="F44" s="2" t="s">
        <v>39</v>
      </c>
      <c r="G44" s="10">
        <v>2.0884999999999998</v>
      </c>
      <c r="H44" s="2">
        <v>43</v>
      </c>
    </row>
    <row r="45" spans="6:8" ht="15" customHeight="1" x14ac:dyDescent="0.25">
      <c r="F45" s="2" t="s">
        <v>40</v>
      </c>
      <c r="G45" s="10">
        <v>2.1030000000000002</v>
      </c>
      <c r="H45" s="2">
        <v>44</v>
      </c>
    </row>
    <row r="46" spans="6:8" ht="15" customHeight="1" x14ac:dyDescent="0.25">
      <c r="F46" s="2" t="s">
        <v>39</v>
      </c>
      <c r="G46" s="10">
        <v>2.14</v>
      </c>
      <c r="H46" s="2">
        <v>45</v>
      </c>
    </row>
  </sheetData>
  <pageMargins left="0.7" right="0.7" top="0.75" bottom="0.75" header="0.511811023622047" footer="0.511811023622047"/>
  <pageSetup orientation="portrait" horizontalDpi="300" verticalDpi="300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Wilcoxon</vt:lpstr>
      <vt:lpstr>Mann-Whitney</vt:lpstr>
      <vt:lpstr>Mann-Whitney (2)</vt:lpstr>
      <vt:lpstr>Wilcoxon pareado</vt:lpstr>
      <vt:lpstr>Kruskal-Wallis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Miguel Rojas</cp:lastModifiedBy>
  <cp:revision>2</cp:revision>
  <dcterms:created xsi:type="dcterms:W3CDTF">2025-08-19T16:10:31Z</dcterms:created>
  <dcterms:modified xsi:type="dcterms:W3CDTF">2025-08-31T03:11:49Z</dcterms:modified>
  <dc:language>es-VE</dc:language>
</cp:coreProperties>
</file>