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ONE\Documents\bioestadistica_adicional\"/>
    </mc:Choice>
  </mc:AlternateContent>
  <xr:revisionPtr revIDLastSave="0" documentId="13_ncr:1_{855054E7-00D8-4DDF-A393-742449A0110F}" xr6:coauthVersionLast="47" xr6:coauthVersionMax="47" xr10:uidLastSave="{00000000-0000-0000-0000-000000000000}"/>
  <bookViews>
    <workbookView xWindow="-20610" yWindow="-120" windowWidth="20730" windowHeight="11160" activeTab="3" xr2:uid="{00000000-000D-0000-FFFF-FFFF00000000}"/>
  </bookViews>
  <sheets>
    <sheet name="Wilcoxon" sheetId="2" r:id="rId1"/>
    <sheet name="Mann-Whitney" sheetId="1" r:id="rId2"/>
    <sheet name="Mann-Whitney (2)" sheetId="5" r:id="rId3"/>
    <sheet name="Wilcoxon pareado" sheetId="4" r:id="rId4"/>
    <sheet name="Kruskal-Walli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E11" i="4" s="1"/>
  <c r="B11" i="4"/>
  <c r="B9" i="4"/>
  <c r="H8" i="4"/>
  <c r="I8" i="4"/>
  <c r="I2" i="4"/>
  <c r="I3" i="4"/>
  <c r="I4" i="4"/>
  <c r="I5" i="4"/>
  <c r="I6" i="4"/>
  <c r="I7" i="4"/>
  <c r="H2" i="4"/>
  <c r="H3" i="4"/>
  <c r="H4" i="4"/>
  <c r="H5" i="4"/>
  <c r="H6" i="4"/>
  <c r="H7" i="4"/>
  <c r="I6" i="1"/>
  <c r="I5" i="1"/>
  <c r="G61" i="5"/>
  <c r="F61" i="5"/>
  <c r="I3" i="5"/>
  <c r="I5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2" i="5"/>
  <c r="I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2" i="5"/>
  <c r="B35" i="2"/>
  <c r="B33" i="2"/>
  <c r="H4" i="2"/>
  <c r="E10" i="4"/>
  <c r="F8" i="4"/>
  <c r="G2" i="4"/>
  <c r="G3" i="4"/>
  <c r="G4" i="4"/>
  <c r="G5" i="4"/>
  <c r="G6" i="4"/>
  <c r="G7" i="4"/>
  <c r="D2" i="4"/>
  <c r="E2" i="4" s="1"/>
  <c r="D3" i="4"/>
  <c r="E3" i="4" s="1"/>
  <c r="D4" i="4"/>
  <c r="E4" i="4" s="1"/>
  <c r="D5" i="4"/>
  <c r="E5" i="4" s="1"/>
  <c r="D6" i="4"/>
  <c r="E6" i="4" s="1"/>
  <c r="D7" i="4"/>
  <c r="E7" i="4" s="1"/>
  <c r="I7" i="1"/>
  <c r="I8" i="1"/>
  <c r="G8" i="4" l="1"/>
  <c r="I4" i="1"/>
  <c r="I3" i="1"/>
  <c r="I2" i="1"/>
  <c r="F33" i="1"/>
  <c r="F34" i="1"/>
  <c r="E34" i="1"/>
  <c r="E33" i="1"/>
  <c r="B34" i="1"/>
  <c r="A34" i="1"/>
  <c r="C2" i="2"/>
  <c r="F2" i="2" s="1"/>
  <c r="C3" i="2"/>
  <c r="D3" i="2" s="1"/>
  <c r="C4" i="2"/>
  <c r="D4" i="2" s="1"/>
  <c r="C5" i="2"/>
  <c r="D5" i="2" s="1"/>
  <c r="C6" i="2"/>
  <c r="F6" i="2" s="1"/>
  <c r="C7" i="2"/>
  <c r="D7" i="2" s="1"/>
  <c r="C8" i="2"/>
  <c r="D8" i="2" s="1"/>
  <c r="C9" i="2"/>
  <c r="D9" i="2" s="1"/>
  <c r="C10" i="2"/>
  <c r="F10" i="2" s="1"/>
  <c r="C11" i="2"/>
  <c r="F11" i="2" s="1"/>
  <c r="C12" i="2"/>
  <c r="D12" i="2" s="1"/>
  <c r="C13" i="2"/>
  <c r="D13" i="2" s="1"/>
  <c r="C14" i="2"/>
  <c r="F14" i="2" s="1"/>
  <c r="C15" i="2"/>
  <c r="F15" i="2" s="1"/>
  <c r="C16" i="2"/>
  <c r="D16" i="2" s="1"/>
  <c r="C17" i="2"/>
  <c r="D17" i="2" s="1"/>
  <c r="C18" i="2"/>
  <c r="F18" i="2" s="1"/>
  <c r="C19" i="2"/>
  <c r="F19" i="2" s="1"/>
  <c r="C20" i="2"/>
  <c r="D20" i="2" s="1"/>
  <c r="C21" i="2"/>
  <c r="D21" i="2" s="1"/>
  <c r="C22" i="2"/>
  <c r="F22" i="2" s="1"/>
  <c r="C23" i="2"/>
  <c r="F23" i="2" s="1"/>
  <c r="C24" i="2"/>
  <c r="F24" i="2" s="1"/>
  <c r="C25" i="2"/>
  <c r="D25" i="2" s="1"/>
  <c r="C26" i="2"/>
  <c r="F26" i="2" s="1"/>
  <c r="C27" i="2"/>
  <c r="F27" i="2" s="1"/>
  <c r="C28" i="2"/>
  <c r="F28" i="2" s="1"/>
  <c r="C29" i="2"/>
  <c r="D29" i="2" s="1"/>
  <c r="C30" i="2"/>
  <c r="D30" i="2" s="1"/>
  <c r="C31" i="2"/>
  <c r="F31" i="2" s="1"/>
  <c r="D19" i="2"/>
  <c r="D24" i="2"/>
  <c r="E34" i="2"/>
  <c r="D23" i="2" l="1"/>
  <c r="D22" i="2"/>
  <c r="G26" i="2"/>
  <c r="H26" i="2"/>
  <c r="G18" i="2"/>
  <c r="H18" i="2"/>
  <c r="G10" i="2"/>
  <c r="H10" i="2"/>
  <c r="G28" i="2"/>
  <c r="H28" i="2"/>
  <c r="G24" i="2"/>
  <c r="H24" i="2"/>
  <c r="G22" i="2"/>
  <c r="H22" i="2"/>
  <c r="G14" i="2"/>
  <c r="H14" i="2"/>
  <c r="G6" i="2"/>
  <c r="H6" i="2"/>
  <c r="G2" i="2"/>
  <c r="H2" i="2"/>
  <c r="D6" i="2"/>
  <c r="G31" i="2"/>
  <c r="H31" i="2"/>
  <c r="G27" i="2"/>
  <c r="H27" i="2"/>
  <c r="G23" i="2"/>
  <c r="H23" i="2"/>
  <c r="G19" i="2"/>
  <c r="H19" i="2"/>
  <c r="G15" i="2"/>
  <c r="H15" i="2"/>
  <c r="G11" i="2"/>
  <c r="H11" i="2"/>
  <c r="D28" i="2"/>
  <c r="D31" i="2"/>
  <c r="F17" i="2"/>
  <c r="F20" i="2"/>
  <c r="F3" i="2"/>
  <c r="D26" i="2"/>
  <c r="D18" i="2"/>
  <c r="D2" i="2"/>
  <c r="D11" i="2"/>
  <c r="F8" i="2"/>
  <c r="F16" i="2"/>
  <c r="F30" i="2"/>
  <c r="D14" i="2"/>
  <c r="F25" i="2"/>
  <c r="F7" i="2"/>
  <c r="F29" i="2"/>
  <c r="F13" i="2"/>
  <c r="D10" i="2"/>
  <c r="F5" i="2"/>
  <c r="F9" i="2"/>
  <c r="F21" i="2"/>
  <c r="F12" i="2"/>
  <c r="D15" i="2"/>
  <c r="D27" i="2"/>
  <c r="G12" i="2" l="1"/>
  <c r="H12" i="2"/>
  <c r="G25" i="2"/>
  <c r="H25" i="2"/>
  <c r="G21" i="2"/>
  <c r="H21" i="2"/>
  <c r="G9" i="2"/>
  <c r="H9" i="2"/>
  <c r="G30" i="2"/>
  <c r="H30" i="2"/>
  <c r="G20" i="2"/>
  <c r="H20" i="2"/>
  <c r="G8" i="2"/>
  <c r="H8" i="2"/>
  <c r="G13" i="2"/>
  <c r="H13" i="2"/>
  <c r="G3" i="2"/>
  <c r="H3" i="2"/>
  <c r="G29" i="2"/>
  <c r="H29" i="2"/>
  <c r="G5" i="2"/>
  <c r="H5" i="2"/>
  <c r="G7" i="2"/>
  <c r="H7" i="2"/>
  <c r="G16" i="2"/>
  <c r="H16" i="2"/>
  <c r="G17" i="2"/>
  <c r="H17" i="2"/>
  <c r="F32" i="2"/>
  <c r="G32" i="2" l="1"/>
  <c r="E33" i="2" s="1"/>
  <c r="E35" i="2" s="1"/>
  <c r="H32" i="2"/>
  <c r="I1" i="5" l="1"/>
  <c r="G62" i="5" l="1"/>
  <c r="I6" i="5" s="1"/>
  <c r="I7" i="5" s="1"/>
  <c r="F62" i="5"/>
  <c r="I4" i="5"/>
</calcChain>
</file>

<file path=xl/sharedStrings.xml><?xml version="1.0" encoding="utf-8"?>
<sst xmlns="http://schemas.openxmlformats.org/spreadsheetml/2006/main" count="120" uniqueCount="42">
  <si>
    <t>CV</t>
  </si>
  <si>
    <t>JB</t>
  </si>
  <si>
    <t>Datos originales</t>
  </si>
  <si>
    <t>Datos ordenados</t>
  </si>
  <si>
    <t>U1</t>
  </si>
  <si>
    <t>U2</t>
  </si>
  <si>
    <t>n</t>
  </si>
  <si>
    <t>R</t>
  </si>
  <si>
    <t>μ</t>
  </si>
  <si>
    <t>Rango empates</t>
  </si>
  <si>
    <t>σ²</t>
  </si>
  <si>
    <t>Z</t>
  </si>
  <si>
    <t>p-valor</t>
  </si>
  <si>
    <t>altura</t>
  </si>
  <si>
    <t>altura-μ</t>
  </si>
  <si>
    <t>Ri</t>
  </si>
  <si>
    <t>Ri²</t>
  </si>
  <si>
    <t>Valor abs</t>
  </si>
  <si>
    <t>index</t>
  </si>
  <si>
    <t>Ranking</t>
  </si>
  <si>
    <t>T</t>
  </si>
  <si>
    <r>
      <t>p-valor</t>
    </r>
    <r>
      <rPr>
        <b/>
        <sz val="11"/>
        <color theme="1"/>
        <rFont val="Calibri"/>
        <family val="2"/>
        <scheme val="minor"/>
      </rPr>
      <t xml:space="preserve"> (DC)</t>
    </r>
  </si>
  <si>
    <t>Macho</t>
  </si>
  <si>
    <t>Hembra</t>
  </si>
  <si>
    <t>Infante</t>
  </si>
  <si>
    <t>avestruz</t>
  </si>
  <si>
    <t>carotid</t>
  </si>
  <si>
    <t>brain</t>
  </si>
  <si>
    <t>diff</t>
  </si>
  <si>
    <t>abs.diff</t>
  </si>
  <si>
    <t>ranking</t>
  </si>
  <si>
    <t>Ri^2</t>
  </si>
  <si>
    <t>Ri+</t>
  </si>
  <si>
    <t>Ri-</t>
  </si>
  <si>
    <t>Tcrítico</t>
  </si>
  <si>
    <t>¿altura ≠ 7?</t>
  </si>
  <si>
    <t>lugar</t>
  </si>
  <si>
    <t>n1</t>
  </si>
  <si>
    <t>n2</t>
  </si>
  <si>
    <t>U</t>
  </si>
  <si>
    <t>Suma empates</t>
  </si>
  <si>
    <t>¿d.altura ≠ 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</si>
</sst>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2E58AE-E561-4BC1-9079-0DCD70C94C70}" name="Tabla1" displayName="Tabla1" ref="A1:H32" totalsRowCount="1" headerRowDxfId="42" dataDxfId="41">
  <autoFilter ref="A1:H31" xr:uid="{CF2E58AE-E561-4BC1-9079-0DCD70C94C70}"/>
  <sortState xmlns:xlrd2="http://schemas.microsoft.com/office/spreadsheetml/2017/richdata2" ref="A2:G31">
    <sortCondition ref="A1:A31"/>
  </sortState>
  <tableColumns count="8">
    <tableColumn id="4" xr3:uid="{8C523DA2-5A7E-4761-9C7F-80F37279E57B}" name="index" dataDxfId="40" totalsRowDxfId="39"/>
    <tableColumn id="1" xr3:uid="{63C3D1DB-77BE-421B-944D-2410E02255A4}" name="altura" dataDxfId="38" totalsRowDxfId="37"/>
    <tableColumn id="2" xr3:uid="{9CD64A83-E6F5-4282-ACF4-FFA7888D2912}" name="altura-μ" dataDxfId="36" totalsRowDxfId="35">
      <calculatedColumnFormula>Tabla1[[#This Row],[altura]]-7</calculatedColumnFormula>
    </tableColumn>
    <tableColumn id="3" xr3:uid="{7DEE57BF-C07B-4651-B448-52B6C08A1FBB}" name="Valor abs" dataDxfId="34" totalsRowDxfId="33">
      <calculatedColumnFormula>ABS(Tabla1[[#This Row],[altura-μ]])</calculatedColumnFormula>
    </tableColumn>
    <tableColumn id="5" xr3:uid="{140C70A8-51F4-4B9F-A260-81AE9A790A91}" name="Ranking" dataDxfId="32" totalsRowDxfId="31"/>
    <tableColumn id="6" xr3:uid="{F31368A8-97F8-4617-9C77-DC026EF77793}" name="Ri" totalsRowFunction="custom" dataDxfId="30" totalsRowDxfId="29">
      <calculatedColumnFormula>IF(Tabla1[[#This Row],[altura-μ]]&lt;0,-1*Tabla1[[#This Row],[Ranking]],Tabla1[[#This Row],[Ranking]])</calculatedColumnFormula>
      <totalsRowFormula>SUM(Tabla1[Ri])</totalsRowFormula>
    </tableColumn>
    <tableColumn id="9" xr3:uid="{B429BF4A-3158-4A7A-8D92-C482E78FF012}" name="Ri²" totalsRowFunction="custom" dataDxfId="28" totalsRowDxfId="27">
      <calculatedColumnFormula>Tabla1[[#This Row],[Ri]]^2</calculatedColumnFormula>
      <totalsRowFormula>SUM(Tabla1[Ri²])</totalsRowFormula>
    </tableColumn>
    <tableColumn id="7" xr3:uid="{08AE4843-D5FD-47E8-8CA7-08E35D5BDFC0}" name="Ri+" totalsRowFunction="custom" dataDxfId="17" totalsRowDxfId="16">
      <calculatedColumnFormula>IF(F2&gt;0,F2,0)</calculatedColumnFormula>
      <totalsRowFormula>SUM(H2:H31)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B87F0-5488-4C30-AE49-27A450E24319}" name="Tabla3" displayName="Tabla3" ref="A1:C61" totalsRowShown="0" headerRowDxfId="14">
  <autoFilter ref="A1:C61" xr:uid="{D00B87F0-5488-4C30-AE49-27A450E24319}"/>
  <sortState xmlns:xlrd2="http://schemas.microsoft.com/office/spreadsheetml/2017/richdata2" ref="A2:B61">
    <sortCondition ref="B1:B61"/>
  </sortState>
  <tableColumns count="3">
    <tableColumn id="1" xr3:uid="{878DB82A-18EC-43CF-BD9A-78835F8258B3}" name="lugar" dataDxfId="15"/>
    <tableColumn id="2" xr3:uid="{B915D254-65AF-49D1-BB7A-C513C32F5028}" name="altura" dataDxfId="13"/>
    <tableColumn id="3" xr3:uid="{AA2DC563-6EF7-44EF-A9B1-EFBA4AE2BEFC}" name="Ranking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F4F6AF-6ADF-43E7-AB0F-1FB39A738675}" name="Tabla2" displayName="Tabla2" ref="A1:I8" totalsRowCount="1" headerRowDxfId="26" dataDxfId="25">
  <autoFilter ref="A1:I7" xr:uid="{A0F4F6AF-6ADF-43E7-AB0F-1FB39A738675}"/>
  <sortState xmlns:xlrd2="http://schemas.microsoft.com/office/spreadsheetml/2017/richdata2" ref="A2:G7">
    <sortCondition ref="A1:A7"/>
  </sortState>
  <tableColumns count="9">
    <tableColumn id="1" xr3:uid="{CC32112B-304B-4E62-A6CF-6CB3643E99ED}" name="avestruz" dataDxfId="24" totalsRowDxfId="9"/>
    <tableColumn id="2" xr3:uid="{3DF5D915-0EEF-479F-B608-40AFB223705C}" name="carotid" dataDxfId="23" totalsRowDxfId="8"/>
    <tableColumn id="3" xr3:uid="{156E6A7C-A3C9-4B46-B9C3-A2442AA9874B}" name="brain" dataDxfId="22" totalsRowDxfId="7"/>
    <tableColumn id="4" xr3:uid="{9E6CDF41-F204-467E-B8C5-3A35A9BE9C10}" name="diff" dataDxfId="21" totalsRowDxfId="6">
      <calculatedColumnFormula>Tabla2[[#This Row],[brain]]-Tabla2[[#This Row],[carotid]]</calculatedColumnFormula>
    </tableColumn>
    <tableColumn id="5" xr3:uid="{F6EEC767-F459-40D0-9ACB-2C4C20E0D907}" name="abs.diff" dataDxfId="20" totalsRowDxfId="5">
      <calculatedColumnFormula>ABS(Tabla2[[#This Row],[diff]])</calculatedColumnFormula>
    </tableColumn>
    <tableColumn id="6" xr3:uid="{D0676A36-A161-464D-ACFE-3A88F3748C0D}" name="ranking" totalsRowFunction="custom" dataDxfId="19" totalsRowDxfId="4">
      <totalsRowFormula>SUM(Tabla2[ranking])</totalsRowFormula>
    </tableColumn>
    <tableColumn id="7" xr3:uid="{CF5AEEF7-2AEC-4719-9027-B70F6D0B3D81}" name="Ri^2" totalsRowFunction="custom" dataDxfId="18" totalsRowDxfId="3">
      <calculatedColumnFormula>Tabla2[[#This Row],[ranking]]^2</calculatedColumnFormula>
      <totalsRowFormula>SUM(Tabla2[Ri^2])</totalsRowFormula>
    </tableColumn>
    <tableColumn id="8" xr3:uid="{40127C85-7E0E-4FCF-9DBF-967916D0EFB9}" name="Ri+" totalsRowFunction="custom" dataDxfId="11" totalsRowDxfId="2">
      <calculatedColumnFormula>IF(Tabla2[[#This Row],[ranking]]&gt;0,Tabla2[[#This Row],[ranking]],0)</calculatedColumnFormula>
      <totalsRowFormula>SUM(Tabla2[Ri+])</totalsRowFormula>
    </tableColumn>
    <tableColumn id="9" xr3:uid="{667E25F4-0C37-4EAB-BC09-B016D2AB394D}" name="Ri-" totalsRowFunction="custom" dataDxfId="10" totalsRowDxfId="1">
      <calculatedColumnFormula>IF(Tabla2[[#This Row],[ranking]]&lt;0,Tabla2[[#This Row],[ranking]],0)</calculatedColumnFormula>
      <totalsRowFormula>SUM(Tabla2[Ri-])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982-8C94-4604-9857-F261FF7612D1}">
  <dimension ref="A1:H35"/>
  <sheetViews>
    <sheetView showGridLines="0" topLeftCell="A19" zoomScaleNormal="100" workbookViewId="0">
      <selection activeCell="A33" sqref="A33:A35"/>
    </sheetView>
  </sheetViews>
  <sheetFormatPr baseColWidth="10" defaultRowHeight="15" x14ac:dyDescent="0.25"/>
  <cols>
    <col min="1" max="5" width="11.42578125" style="2"/>
    <col min="6" max="6" width="11.42578125" style="2" customWidth="1"/>
    <col min="7" max="16384" width="11.42578125" style="2"/>
  </cols>
  <sheetData>
    <row r="1" spans="1:8" s="1" customFormat="1" x14ac:dyDescent="0.25">
      <c r="A1" s="1" t="s">
        <v>18</v>
      </c>
      <c r="B1" s="1" t="s">
        <v>13</v>
      </c>
      <c r="C1" s="1" t="s">
        <v>14</v>
      </c>
      <c r="D1" s="1" t="s">
        <v>17</v>
      </c>
      <c r="E1" s="1" t="s">
        <v>19</v>
      </c>
      <c r="F1" s="1" t="s">
        <v>15</v>
      </c>
      <c r="G1" s="1" t="s">
        <v>16</v>
      </c>
      <c r="H1" s="1" t="s">
        <v>32</v>
      </c>
    </row>
    <row r="2" spans="1:8" x14ac:dyDescent="0.25">
      <c r="A2" s="2">
        <v>1</v>
      </c>
      <c r="B2" s="6">
        <v>5</v>
      </c>
      <c r="C2" s="6">
        <f>Tabla1[[#This Row],[altura]]-7</f>
        <v>-2</v>
      </c>
      <c r="D2" s="6">
        <f>ABS(Tabla1[[#This Row],[altura-μ]])</f>
        <v>2</v>
      </c>
      <c r="E2" s="2">
        <v>8.5</v>
      </c>
      <c r="F2" s="2">
        <f>IF(Tabla1[[#This Row],[altura-μ]]&lt;0,-1*Tabla1[[#This Row],[Ranking]],Tabla1[[#This Row],[Ranking]])</f>
        <v>-8.5</v>
      </c>
      <c r="G2" s="2">
        <f>Tabla1[[#This Row],[Ri]]^2</f>
        <v>72.25</v>
      </c>
      <c r="H2" s="11">
        <f>IF(F2&gt;0,F2,0)</f>
        <v>0</v>
      </c>
    </row>
    <row r="3" spans="1:8" x14ac:dyDescent="0.25">
      <c r="A3" s="2">
        <v>2</v>
      </c>
      <c r="B3" s="6">
        <v>2</v>
      </c>
      <c r="C3" s="6">
        <f>Tabla1[[#This Row],[altura]]-7</f>
        <v>-5</v>
      </c>
      <c r="D3" s="6">
        <f>ABS(Tabla1[[#This Row],[altura-μ]])</f>
        <v>5</v>
      </c>
      <c r="E3" s="2">
        <v>24</v>
      </c>
      <c r="F3" s="2">
        <f>IF(Tabla1[[#This Row],[altura-μ]]&lt;0,-1*Tabla1[[#This Row],[Ranking]],Tabla1[[#This Row],[Ranking]])</f>
        <v>-24</v>
      </c>
      <c r="G3" s="2">
        <f>Tabla1[[#This Row],[Ri]]^2</f>
        <v>576</v>
      </c>
      <c r="H3" s="11">
        <f t="shared" ref="H3:H31" si="0">IF(F3&gt;0,F3,0)</f>
        <v>0</v>
      </c>
    </row>
    <row r="4" spans="1:8" x14ac:dyDescent="0.25">
      <c r="A4" s="2">
        <v>3</v>
      </c>
      <c r="B4" s="6">
        <v>7</v>
      </c>
      <c r="C4" s="6">
        <f>Tabla1[[#This Row],[altura]]-7</f>
        <v>0</v>
      </c>
      <c r="D4" s="6">
        <f>ABS(Tabla1[[#This Row],[altura-μ]])</f>
        <v>0</v>
      </c>
      <c r="H4" s="11">
        <f t="shared" si="0"/>
        <v>0</v>
      </c>
    </row>
    <row r="5" spans="1:8" x14ac:dyDescent="0.25">
      <c r="A5" s="2">
        <v>4</v>
      </c>
      <c r="B5" s="6">
        <v>12</v>
      </c>
      <c r="C5" s="6">
        <f>Tabla1[[#This Row],[altura]]-7</f>
        <v>5</v>
      </c>
      <c r="D5" s="6">
        <f>ABS(Tabla1[[#This Row],[altura-μ]])</f>
        <v>5</v>
      </c>
      <c r="E5" s="2">
        <v>24</v>
      </c>
      <c r="F5" s="2">
        <f>IF(Tabla1[[#This Row],[altura-μ]]&lt;0,-1*Tabla1[[#This Row],[Ranking]],Tabla1[[#This Row],[Ranking]])</f>
        <v>24</v>
      </c>
      <c r="G5" s="2">
        <f>Tabla1[[#This Row],[Ri]]^2</f>
        <v>576</v>
      </c>
      <c r="H5" s="11">
        <f t="shared" si="0"/>
        <v>24</v>
      </c>
    </row>
    <row r="6" spans="1:8" x14ac:dyDescent="0.25">
      <c r="A6" s="2">
        <v>5</v>
      </c>
      <c r="B6" s="6">
        <v>12</v>
      </c>
      <c r="C6" s="6">
        <f>Tabla1[[#This Row],[altura]]-7</f>
        <v>5</v>
      </c>
      <c r="D6" s="6">
        <f>ABS(Tabla1[[#This Row],[altura-μ]])</f>
        <v>5</v>
      </c>
      <c r="E6" s="2">
        <v>24</v>
      </c>
      <c r="F6" s="2">
        <f>IF(Tabla1[[#This Row],[altura-μ]]&lt;0,-1*Tabla1[[#This Row],[Ranking]],Tabla1[[#This Row],[Ranking]])</f>
        <v>24</v>
      </c>
      <c r="G6" s="2">
        <f>Tabla1[[#This Row],[Ri]]^2</f>
        <v>576</v>
      </c>
      <c r="H6" s="11">
        <f t="shared" si="0"/>
        <v>24</v>
      </c>
    </row>
    <row r="7" spans="1:8" x14ac:dyDescent="0.25">
      <c r="A7" s="2">
        <v>6</v>
      </c>
      <c r="B7" s="6">
        <v>3</v>
      </c>
      <c r="C7" s="6">
        <f>Tabla1[[#This Row],[altura]]-7</f>
        <v>-4</v>
      </c>
      <c r="D7" s="6">
        <f>ABS(Tabla1[[#This Row],[altura-μ]])</f>
        <v>4</v>
      </c>
      <c r="E7" s="2">
        <v>18.5</v>
      </c>
      <c r="F7" s="2">
        <f>IF(Tabla1[[#This Row],[altura-μ]]&lt;0,-1*Tabla1[[#This Row],[Ranking]],Tabla1[[#This Row],[Ranking]])</f>
        <v>-18.5</v>
      </c>
      <c r="G7" s="2">
        <f>Tabla1[[#This Row],[Ri]]^2</f>
        <v>342.25</v>
      </c>
      <c r="H7" s="11">
        <f t="shared" si="0"/>
        <v>0</v>
      </c>
    </row>
    <row r="8" spans="1:8" x14ac:dyDescent="0.25">
      <c r="A8" s="2">
        <v>7</v>
      </c>
      <c r="B8" s="6">
        <v>3</v>
      </c>
      <c r="C8" s="6">
        <f>Tabla1[[#This Row],[altura]]-7</f>
        <v>-4</v>
      </c>
      <c r="D8" s="6">
        <f>ABS(Tabla1[[#This Row],[altura-μ]])</f>
        <v>4</v>
      </c>
      <c r="E8" s="2">
        <v>18.5</v>
      </c>
      <c r="F8" s="2">
        <f>IF(Tabla1[[#This Row],[altura-μ]]&lt;0,-1*Tabla1[[#This Row],[Ranking]],Tabla1[[#This Row],[Ranking]])</f>
        <v>-18.5</v>
      </c>
      <c r="G8" s="2">
        <f>Tabla1[[#This Row],[Ri]]^2</f>
        <v>342.25</v>
      </c>
      <c r="H8" s="11">
        <f t="shared" si="0"/>
        <v>0</v>
      </c>
    </row>
    <row r="9" spans="1:8" x14ac:dyDescent="0.25">
      <c r="A9" s="2">
        <v>8</v>
      </c>
      <c r="B9" s="6">
        <v>10.5</v>
      </c>
      <c r="C9" s="6">
        <f>Tabla1[[#This Row],[altura]]-7</f>
        <v>3.5</v>
      </c>
      <c r="D9" s="6">
        <f>ABS(Tabla1[[#This Row],[altura-μ]])</f>
        <v>3.5</v>
      </c>
      <c r="E9" s="2">
        <v>16</v>
      </c>
      <c r="F9" s="2">
        <f>IF(Tabla1[[#This Row],[altura-μ]]&lt;0,-1*Tabla1[[#This Row],[Ranking]],Tabla1[[#This Row],[Ranking]])</f>
        <v>16</v>
      </c>
      <c r="G9" s="2">
        <f>Tabla1[[#This Row],[Ri]]^2</f>
        <v>256</v>
      </c>
      <c r="H9" s="11">
        <f t="shared" si="0"/>
        <v>16</v>
      </c>
    </row>
    <row r="10" spans="1:8" x14ac:dyDescent="0.25">
      <c r="A10" s="2">
        <v>9</v>
      </c>
      <c r="B10" s="6">
        <v>15</v>
      </c>
      <c r="C10" s="6">
        <f>Tabla1[[#This Row],[altura]]-7</f>
        <v>8</v>
      </c>
      <c r="D10" s="6">
        <f>ABS(Tabla1[[#This Row],[altura-μ]])</f>
        <v>8</v>
      </c>
      <c r="E10" s="2">
        <v>28</v>
      </c>
      <c r="F10" s="2">
        <f>IF(Tabla1[[#This Row],[altura-μ]]&lt;0,-1*Tabla1[[#This Row],[Ranking]],Tabla1[[#This Row],[Ranking]])</f>
        <v>28</v>
      </c>
      <c r="G10" s="2">
        <f>Tabla1[[#This Row],[Ri]]^2</f>
        <v>784</v>
      </c>
      <c r="H10" s="11">
        <f t="shared" si="0"/>
        <v>28</v>
      </c>
    </row>
    <row r="11" spans="1:8" x14ac:dyDescent="0.25">
      <c r="A11" s="2">
        <v>10</v>
      </c>
      <c r="B11" s="6">
        <v>4.5</v>
      </c>
      <c r="C11" s="6">
        <f>Tabla1[[#This Row],[altura]]-7</f>
        <v>-2.5</v>
      </c>
      <c r="D11" s="6">
        <f>ABS(Tabla1[[#This Row],[altura-μ]])</f>
        <v>2.5</v>
      </c>
      <c r="E11" s="2">
        <v>11.5</v>
      </c>
      <c r="F11" s="2">
        <f>IF(Tabla1[[#This Row],[altura-μ]]&lt;0,-1*Tabla1[[#This Row],[Ranking]],Tabla1[[#This Row],[Ranking]])</f>
        <v>-11.5</v>
      </c>
      <c r="G11" s="2">
        <f>Tabla1[[#This Row],[Ri]]^2</f>
        <v>132.25</v>
      </c>
      <c r="H11" s="11">
        <f t="shared" si="0"/>
        <v>0</v>
      </c>
    </row>
    <row r="12" spans="1:8" x14ac:dyDescent="0.25">
      <c r="A12" s="2">
        <v>11</v>
      </c>
      <c r="B12" s="6">
        <v>6</v>
      </c>
      <c r="C12" s="6">
        <f>Tabla1[[#This Row],[altura]]-7</f>
        <v>-1</v>
      </c>
      <c r="D12" s="6">
        <f>ABS(Tabla1[[#This Row],[altura-μ]])</f>
        <v>1</v>
      </c>
      <c r="E12" s="2">
        <v>4.5</v>
      </c>
      <c r="F12" s="2">
        <f>IF(Tabla1[[#This Row],[altura-μ]]&lt;0,-1*Tabla1[[#This Row],[Ranking]],Tabla1[[#This Row],[Ranking]])</f>
        <v>-4.5</v>
      </c>
      <c r="G12" s="2">
        <f>Tabla1[[#This Row],[Ri]]^2</f>
        <v>20.25</v>
      </c>
      <c r="H12" s="11">
        <f t="shared" si="0"/>
        <v>0</v>
      </c>
    </row>
    <row r="13" spans="1:8" x14ac:dyDescent="0.25">
      <c r="A13" s="2">
        <v>12</v>
      </c>
      <c r="B13" s="6">
        <v>6.75</v>
      </c>
      <c r="C13" s="6">
        <f>Tabla1[[#This Row],[altura]]-7</f>
        <v>-0.25</v>
      </c>
      <c r="D13" s="6">
        <f>ABS(Tabla1[[#This Row],[altura-μ]])</f>
        <v>0.25</v>
      </c>
      <c r="E13" s="2">
        <v>1</v>
      </c>
      <c r="F13" s="2">
        <f>IF(Tabla1[[#This Row],[altura-μ]]&lt;0,-1*Tabla1[[#This Row],[Ranking]],Tabla1[[#This Row],[Ranking]])</f>
        <v>-1</v>
      </c>
      <c r="G13" s="2">
        <f>Tabla1[[#This Row],[Ri]]^2</f>
        <v>1</v>
      </c>
      <c r="H13" s="11">
        <f t="shared" si="0"/>
        <v>0</v>
      </c>
    </row>
    <row r="14" spans="1:8" x14ac:dyDescent="0.25">
      <c r="A14" s="2">
        <v>13</v>
      </c>
      <c r="B14" s="6">
        <v>13.5</v>
      </c>
      <c r="C14" s="6">
        <f>Tabla1[[#This Row],[altura]]-7</f>
        <v>6.5</v>
      </c>
      <c r="D14" s="6">
        <f>ABS(Tabla1[[#This Row],[altura-μ]])</f>
        <v>6.5</v>
      </c>
      <c r="E14" s="2">
        <v>27</v>
      </c>
      <c r="F14" s="2">
        <f>IF(Tabla1[[#This Row],[altura-μ]]&lt;0,-1*Tabla1[[#This Row],[Ranking]],Tabla1[[#This Row],[Ranking]])</f>
        <v>27</v>
      </c>
      <c r="G14" s="2">
        <f>Tabla1[[#This Row],[Ri]]^2</f>
        <v>729</v>
      </c>
      <c r="H14" s="11">
        <f t="shared" si="0"/>
        <v>27</v>
      </c>
    </row>
    <row r="15" spans="1:8" x14ac:dyDescent="0.25">
      <c r="A15" s="2">
        <v>14</v>
      </c>
      <c r="B15" s="6">
        <v>2.2000000000000002</v>
      </c>
      <c r="C15" s="6">
        <f>Tabla1[[#This Row],[altura]]-7</f>
        <v>-4.8</v>
      </c>
      <c r="D15" s="6">
        <f>ABS(Tabla1[[#This Row],[altura-μ]])</f>
        <v>4.8</v>
      </c>
      <c r="E15" s="2">
        <v>22</v>
      </c>
      <c r="F15" s="2">
        <f>IF(Tabla1[[#This Row],[altura-μ]]&lt;0,-1*Tabla1[[#This Row],[Ranking]],Tabla1[[#This Row],[Ranking]])</f>
        <v>-22</v>
      </c>
      <c r="G15" s="2">
        <f>Tabla1[[#This Row],[Ri]]^2</f>
        <v>484</v>
      </c>
      <c r="H15" s="11">
        <f t="shared" si="0"/>
        <v>0</v>
      </c>
    </row>
    <row r="16" spans="1:8" x14ac:dyDescent="0.25">
      <c r="A16" s="2">
        <v>15</v>
      </c>
      <c r="B16" s="6">
        <v>8.25</v>
      </c>
      <c r="C16" s="6">
        <f>Tabla1[[#This Row],[altura]]-7</f>
        <v>1.25</v>
      </c>
      <c r="D16" s="6">
        <f>ABS(Tabla1[[#This Row],[altura-μ]])</f>
        <v>1.25</v>
      </c>
      <c r="E16" s="2">
        <v>6.5</v>
      </c>
      <c r="F16" s="2">
        <f>IF(Tabla1[[#This Row],[altura-μ]]&lt;0,-1*Tabla1[[#This Row],[Ranking]],Tabla1[[#This Row],[Ranking]])</f>
        <v>6.5</v>
      </c>
      <c r="G16" s="2">
        <f>Tabla1[[#This Row],[Ri]]^2</f>
        <v>42.25</v>
      </c>
      <c r="H16" s="11">
        <f t="shared" si="0"/>
        <v>6.5</v>
      </c>
    </row>
    <row r="17" spans="1:8" x14ac:dyDescent="0.25">
      <c r="A17" s="2">
        <v>16</v>
      </c>
      <c r="B17" s="6">
        <v>3</v>
      </c>
      <c r="C17" s="6">
        <f>Tabla1[[#This Row],[altura]]-7</f>
        <v>-4</v>
      </c>
      <c r="D17" s="6">
        <f>ABS(Tabla1[[#This Row],[altura-μ]])</f>
        <v>4</v>
      </c>
      <c r="E17" s="2">
        <v>18.5</v>
      </c>
      <c r="F17" s="2">
        <f>IF(Tabla1[[#This Row],[altura-μ]]&lt;0,-1*Tabla1[[#This Row],[Ranking]],Tabla1[[#This Row],[Ranking]])</f>
        <v>-18.5</v>
      </c>
      <c r="G17" s="2">
        <f>Tabla1[[#This Row],[Ri]]^2</f>
        <v>342.25</v>
      </c>
      <c r="H17" s="11">
        <f t="shared" si="0"/>
        <v>0</v>
      </c>
    </row>
    <row r="18" spans="1:8" x14ac:dyDescent="0.25">
      <c r="A18" s="2">
        <v>17</v>
      </c>
      <c r="B18" s="6">
        <v>9</v>
      </c>
      <c r="C18" s="6">
        <f>Tabla1[[#This Row],[altura]]-7</f>
        <v>2</v>
      </c>
      <c r="D18" s="6">
        <f>ABS(Tabla1[[#This Row],[altura-μ]])</f>
        <v>2</v>
      </c>
      <c r="E18" s="2">
        <v>8.5</v>
      </c>
      <c r="F18" s="2">
        <f>IF(Tabla1[[#This Row],[altura-μ]]&lt;0,-1*Tabla1[[#This Row],[Ranking]],Tabla1[[#This Row],[Ranking]])</f>
        <v>8.5</v>
      </c>
      <c r="G18" s="2">
        <f>Tabla1[[#This Row],[Ri]]^2</f>
        <v>72.25</v>
      </c>
      <c r="H18" s="11">
        <f t="shared" si="0"/>
        <v>8.5</v>
      </c>
    </row>
    <row r="19" spans="1:8" x14ac:dyDescent="0.25">
      <c r="A19" s="2">
        <v>18</v>
      </c>
      <c r="B19" s="6">
        <v>7.5</v>
      </c>
      <c r="C19" s="6">
        <f>Tabla1[[#This Row],[altura]]-7</f>
        <v>0.5</v>
      </c>
      <c r="D19" s="6">
        <f>ABS(Tabla1[[#This Row],[altura-μ]])</f>
        <v>0.5</v>
      </c>
      <c r="E19" s="2">
        <v>2.5</v>
      </c>
      <c r="F19" s="2">
        <f>IF(Tabla1[[#This Row],[altura-μ]]&lt;0,-1*Tabla1[[#This Row],[Ranking]],Tabla1[[#This Row],[Ranking]])</f>
        <v>2.5</v>
      </c>
      <c r="G19" s="2">
        <f>Tabla1[[#This Row],[Ri]]^2</f>
        <v>6.25</v>
      </c>
      <c r="H19" s="11">
        <f t="shared" si="0"/>
        <v>2.5</v>
      </c>
    </row>
    <row r="20" spans="1:8" x14ac:dyDescent="0.25">
      <c r="A20" s="2">
        <v>19</v>
      </c>
      <c r="B20" s="6">
        <v>4.5</v>
      </c>
      <c r="C20" s="6">
        <f>Tabla1[[#This Row],[altura]]-7</f>
        <v>-2.5</v>
      </c>
      <c r="D20" s="6">
        <f>ABS(Tabla1[[#This Row],[altura-μ]])</f>
        <v>2.5</v>
      </c>
      <c r="E20" s="2">
        <v>11.5</v>
      </c>
      <c r="F20" s="2">
        <f>IF(Tabla1[[#This Row],[altura-μ]]&lt;0,-1*Tabla1[[#This Row],[Ranking]],Tabla1[[#This Row],[Ranking]])</f>
        <v>-11.5</v>
      </c>
      <c r="G20" s="2">
        <f>Tabla1[[#This Row],[Ri]]^2</f>
        <v>132.25</v>
      </c>
      <c r="H20" s="11">
        <f t="shared" si="0"/>
        <v>0</v>
      </c>
    </row>
    <row r="21" spans="1:8" x14ac:dyDescent="0.25">
      <c r="A21" s="2">
        <v>20</v>
      </c>
      <c r="B21" s="6">
        <v>4.5</v>
      </c>
      <c r="C21" s="6">
        <f>Tabla1[[#This Row],[altura]]-7</f>
        <v>-2.5</v>
      </c>
      <c r="D21" s="6">
        <f>ABS(Tabla1[[#This Row],[altura-μ]])</f>
        <v>2.5</v>
      </c>
      <c r="E21" s="2">
        <v>11.5</v>
      </c>
      <c r="F21" s="2">
        <f>IF(Tabla1[[#This Row],[altura-μ]]&lt;0,-1*Tabla1[[#This Row],[Ranking]],Tabla1[[#This Row],[Ranking]])</f>
        <v>-11.5</v>
      </c>
      <c r="G21" s="2">
        <f>Tabla1[[#This Row],[Ri]]^2</f>
        <v>132.25</v>
      </c>
      <c r="H21" s="11">
        <f t="shared" si="0"/>
        <v>0</v>
      </c>
    </row>
    <row r="22" spans="1:8" x14ac:dyDescent="0.25">
      <c r="A22" s="2">
        <v>21</v>
      </c>
      <c r="B22" s="6">
        <v>9.75</v>
      </c>
      <c r="C22" s="6">
        <f>Tabla1[[#This Row],[altura]]-7</f>
        <v>2.75</v>
      </c>
      <c r="D22" s="6">
        <f>ABS(Tabla1[[#This Row],[altura-μ]])</f>
        <v>2.75</v>
      </c>
      <c r="E22" s="2">
        <v>14</v>
      </c>
      <c r="F22" s="2">
        <f>IF(Tabla1[[#This Row],[altura-μ]]&lt;0,-1*Tabla1[[#This Row],[Ranking]],Tabla1[[#This Row],[Ranking]])</f>
        <v>14</v>
      </c>
      <c r="G22" s="2">
        <f>Tabla1[[#This Row],[Ri]]^2</f>
        <v>196</v>
      </c>
      <c r="H22" s="11">
        <f t="shared" si="0"/>
        <v>14</v>
      </c>
    </row>
    <row r="23" spans="1:8" x14ac:dyDescent="0.25">
      <c r="A23" s="2">
        <v>22</v>
      </c>
      <c r="B23" s="6">
        <v>7.5</v>
      </c>
      <c r="C23" s="6">
        <f>Tabla1[[#This Row],[altura]]-7</f>
        <v>0.5</v>
      </c>
      <c r="D23" s="6">
        <f>ABS(Tabla1[[#This Row],[altura-μ]])</f>
        <v>0.5</v>
      </c>
      <c r="E23" s="2">
        <v>2.5</v>
      </c>
      <c r="F23" s="2">
        <f>IF(Tabla1[[#This Row],[altura-μ]]&lt;0,-1*Tabla1[[#This Row],[Ranking]],Tabla1[[#This Row],[Ranking]])</f>
        <v>2.5</v>
      </c>
      <c r="G23" s="2">
        <f>Tabla1[[#This Row],[Ri]]^2</f>
        <v>6.25</v>
      </c>
      <c r="H23" s="11">
        <f t="shared" si="0"/>
        <v>2.5</v>
      </c>
    </row>
    <row r="24" spans="1:8" x14ac:dyDescent="0.25">
      <c r="A24" s="2">
        <v>23</v>
      </c>
      <c r="B24" s="6">
        <v>11.25</v>
      </c>
      <c r="C24" s="6">
        <f>Tabla1[[#This Row],[altura]]-7</f>
        <v>4.25</v>
      </c>
      <c r="D24" s="6">
        <f>ABS(Tabla1[[#This Row],[altura-μ]])</f>
        <v>4.25</v>
      </c>
      <c r="E24" s="2">
        <v>21</v>
      </c>
      <c r="F24" s="2">
        <f>IF(Tabla1[[#This Row],[altura-μ]]&lt;0,-1*Tabla1[[#This Row],[Ranking]],Tabla1[[#This Row],[Ranking]])</f>
        <v>21</v>
      </c>
      <c r="G24" s="2">
        <f>Tabla1[[#This Row],[Ri]]^2</f>
        <v>441</v>
      </c>
      <c r="H24" s="11">
        <f t="shared" si="0"/>
        <v>21</v>
      </c>
    </row>
    <row r="25" spans="1:8" x14ac:dyDescent="0.25">
      <c r="A25" s="2">
        <v>24</v>
      </c>
      <c r="B25" s="6">
        <v>16</v>
      </c>
      <c r="C25" s="6">
        <f>Tabla1[[#This Row],[altura]]-7</f>
        <v>9</v>
      </c>
      <c r="D25" s="6">
        <f>ABS(Tabla1[[#This Row],[altura-μ]])</f>
        <v>9</v>
      </c>
      <c r="E25" s="2">
        <v>29</v>
      </c>
      <c r="F25" s="2">
        <f>IF(Tabla1[[#This Row],[altura-μ]]&lt;0,-1*Tabla1[[#This Row],[Ranking]],Tabla1[[#This Row],[Ranking]])</f>
        <v>29</v>
      </c>
      <c r="G25" s="2">
        <f>Tabla1[[#This Row],[Ri]]^2</f>
        <v>841</v>
      </c>
      <c r="H25" s="11">
        <f t="shared" si="0"/>
        <v>29</v>
      </c>
    </row>
    <row r="26" spans="1:8" x14ac:dyDescent="0.25">
      <c r="A26" s="2">
        <v>25</v>
      </c>
      <c r="B26" s="6">
        <v>13</v>
      </c>
      <c r="C26" s="6">
        <f>Tabla1[[#This Row],[altura]]-7</f>
        <v>6</v>
      </c>
      <c r="D26" s="6">
        <f>ABS(Tabla1[[#This Row],[altura-μ]])</f>
        <v>6</v>
      </c>
      <c r="E26" s="2">
        <v>26</v>
      </c>
      <c r="F26" s="2">
        <f>IF(Tabla1[[#This Row],[altura-μ]]&lt;0,-1*Tabla1[[#This Row],[Ranking]],Tabla1[[#This Row],[Ranking]])</f>
        <v>26</v>
      </c>
      <c r="G26" s="2">
        <f>Tabla1[[#This Row],[Ri]]^2</f>
        <v>676</v>
      </c>
      <c r="H26" s="11">
        <f t="shared" si="0"/>
        <v>26</v>
      </c>
    </row>
    <row r="27" spans="1:8" x14ac:dyDescent="0.25">
      <c r="A27" s="2">
        <v>26</v>
      </c>
      <c r="B27" s="6">
        <v>4.5</v>
      </c>
      <c r="C27" s="6">
        <f>Tabla1[[#This Row],[altura]]-7</f>
        <v>-2.5</v>
      </c>
      <c r="D27" s="6">
        <f>ABS(Tabla1[[#This Row],[altura-μ]])</f>
        <v>2.5</v>
      </c>
      <c r="E27" s="2">
        <v>11.5</v>
      </c>
      <c r="F27" s="2">
        <f>IF(Tabla1[[#This Row],[altura-μ]]&lt;0,-1*Tabla1[[#This Row],[Ranking]],Tabla1[[#This Row],[Ranking]])</f>
        <v>-11.5</v>
      </c>
      <c r="G27" s="2">
        <f>Tabla1[[#This Row],[Ri]]^2</f>
        <v>132.25</v>
      </c>
      <c r="H27" s="11">
        <f t="shared" si="0"/>
        <v>0</v>
      </c>
    </row>
    <row r="28" spans="1:8" x14ac:dyDescent="0.25">
      <c r="A28" s="2">
        <v>27</v>
      </c>
      <c r="B28" s="6">
        <v>8.25</v>
      </c>
      <c r="C28" s="6">
        <f>Tabla1[[#This Row],[altura]]-7</f>
        <v>1.25</v>
      </c>
      <c r="D28" s="6">
        <f>ABS(Tabla1[[#This Row],[altura-μ]])</f>
        <v>1.25</v>
      </c>
      <c r="E28" s="2">
        <v>6.5</v>
      </c>
      <c r="F28" s="2">
        <f>IF(Tabla1[[#This Row],[altura-μ]]&lt;0,-1*Tabla1[[#This Row],[Ranking]],Tabla1[[#This Row],[Ranking]])</f>
        <v>6.5</v>
      </c>
      <c r="G28" s="2">
        <f>Tabla1[[#This Row],[Ri]]^2</f>
        <v>42.25</v>
      </c>
      <c r="H28" s="11">
        <f t="shared" si="0"/>
        <v>6.5</v>
      </c>
    </row>
    <row r="29" spans="1:8" x14ac:dyDescent="0.25">
      <c r="A29" s="2">
        <v>28</v>
      </c>
      <c r="B29" s="6">
        <v>6</v>
      </c>
      <c r="C29" s="6">
        <f>Tabla1[[#This Row],[altura]]-7</f>
        <v>-1</v>
      </c>
      <c r="D29" s="6">
        <f>ABS(Tabla1[[#This Row],[altura-μ]])</f>
        <v>1</v>
      </c>
      <c r="E29" s="2">
        <v>4.5</v>
      </c>
      <c r="F29" s="2">
        <f>IF(Tabla1[[#This Row],[altura-μ]]&lt;0,-1*Tabla1[[#This Row],[Ranking]],Tabla1[[#This Row],[Ranking]])</f>
        <v>-4.5</v>
      </c>
      <c r="G29" s="2">
        <f>Tabla1[[#This Row],[Ri]]^2</f>
        <v>20.25</v>
      </c>
      <c r="H29" s="11">
        <f t="shared" si="0"/>
        <v>0</v>
      </c>
    </row>
    <row r="30" spans="1:8" x14ac:dyDescent="0.25">
      <c r="A30" s="2">
        <v>29</v>
      </c>
      <c r="B30" s="6">
        <v>10</v>
      </c>
      <c r="C30" s="6">
        <f>Tabla1[[#This Row],[altura]]-7</f>
        <v>3</v>
      </c>
      <c r="D30" s="6">
        <f>ABS(Tabla1[[#This Row],[altura-μ]])</f>
        <v>3</v>
      </c>
      <c r="E30" s="2">
        <v>15</v>
      </c>
      <c r="F30" s="2">
        <f>IF(Tabla1[[#This Row],[altura-μ]]&lt;0,-1*Tabla1[[#This Row],[Ranking]],Tabla1[[#This Row],[Ranking]])</f>
        <v>15</v>
      </c>
      <c r="G30" s="2">
        <f>Tabla1[[#This Row],[Ri]]^2</f>
        <v>225</v>
      </c>
      <c r="H30" s="11">
        <f t="shared" si="0"/>
        <v>15</v>
      </c>
    </row>
    <row r="31" spans="1:8" ht="15.75" thickBot="1" x14ac:dyDescent="0.3">
      <c r="A31" s="2">
        <v>30</v>
      </c>
      <c r="B31" s="6">
        <v>3</v>
      </c>
      <c r="C31" s="6">
        <f>Tabla1[[#This Row],[altura]]-7</f>
        <v>-4</v>
      </c>
      <c r="D31" s="6">
        <f>ABS(Tabla1[[#This Row],[altura-μ]])</f>
        <v>4</v>
      </c>
      <c r="E31" s="2">
        <v>18.5</v>
      </c>
      <c r="F31" s="2">
        <f>IF(Tabla1[[#This Row],[altura-μ]]&lt;0,-1*Tabla1[[#This Row],[Ranking]],Tabla1[[#This Row],[Ranking]])</f>
        <v>-18.5</v>
      </c>
      <c r="G31" s="2">
        <f>Tabla1[[#This Row],[Ri]]^2</f>
        <v>342.25</v>
      </c>
      <c r="H31" s="12">
        <f t="shared" si="0"/>
        <v>0</v>
      </c>
    </row>
    <row r="32" spans="1:8" ht="15.75" thickTop="1" x14ac:dyDescent="0.25">
      <c r="B32" s="6"/>
      <c r="C32" s="6"/>
      <c r="D32" s="6"/>
      <c r="F32" s="2">
        <f>SUM(Tabla1[Ri])</f>
        <v>66</v>
      </c>
      <c r="G32" s="2">
        <f>SUM(Tabla1[Ri²])</f>
        <v>8541</v>
      </c>
      <c r="H32" s="2">
        <f>SUM(H2:H31)</f>
        <v>250.5</v>
      </c>
    </row>
    <row r="33" spans="1:5" x14ac:dyDescent="0.25">
      <c r="A33" s="2" t="s">
        <v>20</v>
      </c>
      <c r="B33" s="2">
        <f>Tabla1[[#Totals],[Ri+]]</f>
        <v>250.5</v>
      </c>
      <c r="D33" s="1" t="s">
        <v>20</v>
      </c>
      <c r="E33" s="7">
        <f>Tabla1[[#Totals],[Ri]]/SQRT(Tabla1[[#Totals],[Ri²]])</f>
        <v>0.71415022047731502</v>
      </c>
    </row>
    <row r="34" spans="1:5" x14ac:dyDescent="0.25">
      <c r="A34" s="1" t="s">
        <v>34</v>
      </c>
      <c r="B34" s="2">
        <v>126</v>
      </c>
      <c r="D34" s="1" t="s">
        <v>11</v>
      </c>
      <c r="E34" s="6">
        <f>_xlfn.NORM.S.INV(0.975)</f>
        <v>1.9599639845400536</v>
      </c>
    </row>
    <row r="35" spans="1:5" x14ac:dyDescent="0.25">
      <c r="A35" s="1" t="s">
        <v>35</v>
      </c>
      <c r="B35" s="2" t="str">
        <f>IF(B33&lt;=B34,"Sí","No")</f>
        <v>No</v>
      </c>
      <c r="D35" s="5" t="s">
        <v>21</v>
      </c>
      <c r="E35" s="2">
        <f>2*(1-_xlfn.NORM.S.DIST(E33,TRUE))</f>
        <v>0.47513429455583345</v>
      </c>
    </row>
  </sheetData>
  <conditionalFormatting sqref="F2:F31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zoomScaleNormal="100" workbookViewId="0">
      <selection activeCell="I6" sqref="I6"/>
    </sheetView>
  </sheetViews>
  <sheetFormatPr baseColWidth="10" defaultColWidth="9.140625" defaultRowHeight="15" x14ac:dyDescent="0.25"/>
  <cols>
    <col min="1" max="7" width="9.140625" style="2"/>
    <col min="8" max="8" width="17.7109375" style="2" customWidth="1"/>
    <col min="9" max="16384" width="9.140625" style="2"/>
  </cols>
  <sheetData>
    <row r="1" spans="1:9" x14ac:dyDescent="0.25">
      <c r="A1" s="10" t="s">
        <v>2</v>
      </c>
      <c r="B1" s="10"/>
      <c r="E1" s="10" t="s">
        <v>3</v>
      </c>
      <c r="F1" s="10"/>
    </row>
    <row r="2" spans="1:9" s="1" customFormat="1" x14ac:dyDescent="0.25">
      <c r="A2" s="1" t="s">
        <v>0</v>
      </c>
      <c r="B2" s="1" t="s">
        <v>1</v>
      </c>
      <c r="E2" s="1" t="s">
        <v>0</v>
      </c>
      <c r="F2" s="1" t="s">
        <v>1</v>
      </c>
      <c r="H2" s="1" t="s">
        <v>4</v>
      </c>
      <c r="I2" s="2">
        <f>$E$33*$F$33+(E33*(E33+1))/2-E34</f>
        <v>219</v>
      </c>
    </row>
    <row r="3" spans="1:9" x14ac:dyDescent="0.25">
      <c r="A3" s="6">
        <v>5</v>
      </c>
      <c r="B3" s="6">
        <v>4</v>
      </c>
      <c r="E3" s="2">
        <v>32</v>
      </c>
      <c r="F3" s="2">
        <v>26.5</v>
      </c>
      <c r="H3" s="1" t="s">
        <v>5</v>
      </c>
      <c r="I3" s="2">
        <f>$E$33*$F$33+(F33*(F33+1))/2-F34</f>
        <v>681</v>
      </c>
    </row>
    <row r="4" spans="1:9" x14ac:dyDescent="0.25">
      <c r="A4" s="6">
        <v>2</v>
      </c>
      <c r="B4" s="6">
        <v>2.5</v>
      </c>
      <c r="E4" s="2">
        <v>7</v>
      </c>
      <c r="F4" s="2">
        <v>14.5</v>
      </c>
      <c r="H4" s="1" t="s">
        <v>8</v>
      </c>
      <c r="I4" s="2">
        <f>E33*F33/2</f>
        <v>450</v>
      </c>
    </row>
    <row r="5" spans="1:9" x14ac:dyDescent="0.25">
      <c r="A5" s="6">
        <v>7</v>
      </c>
      <c r="B5" s="6">
        <v>2.2000000000000002</v>
      </c>
      <c r="E5" s="2">
        <v>39</v>
      </c>
      <c r="F5" s="2">
        <v>9.5</v>
      </c>
      <c r="H5" s="1" t="s">
        <v>9</v>
      </c>
      <c r="I5" s="2">
        <f>((2^3-2)+(2^3-2)+(3^3-3)+(2^3-2)+(3^3-3)+(2^3-2)+(7^3-7)+(2^3-2)+(4^3-4)+(3^3-3)+(3^3-3)+(2^3-2)+(2^3-2)+(2^3-2)+(2^3-2)+(2^3-2)+(2^3-2))/12</f>
        <v>46.5</v>
      </c>
    </row>
    <row r="6" spans="1:9" x14ac:dyDescent="0.25">
      <c r="A6" s="6">
        <v>12</v>
      </c>
      <c r="B6" s="6">
        <v>2.25</v>
      </c>
      <c r="E6" s="2">
        <v>53.5</v>
      </c>
      <c r="F6" s="2">
        <v>12</v>
      </c>
      <c r="H6" s="1" t="s">
        <v>10</v>
      </c>
      <c r="I6" s="2">
        <f>(30*30/(60^2-60))*((60^3-60)/12-I5)</f>
        <v>4563.1779661016944</v>
      </c>
    </row>
    <row r="7" spans="1:9" x14ac:dyDescent="0.25">
      <c r="A7" s="6">
        <v>12</v>
      </c>
      <c r="B7" s="6">
        <v>2</v>
      </c>
      <c r="E7" s="2">
        <v>53.5</v>
      </c>
      <c r="F7" s="2">
        <v>7</v>
      </c>
      <c r="H7" s="1" t="s">
        <v>11</v>
      </c>
      <c r="I7" s="2">
        <f>(I2-I4)/SQRT(I6)</f>
        <v>-3.4196233705532904</v>
      </c>
    </row>
    <row r="8" spans="1:9" x14ac:dyDescent="0.25">
      <c r="A8" s="6">
        <v>3</v>
      </c>
      <c r="B8" s="6">
        <v>2.6</v>
      </c>
      <c r="E8" s="2">
        <v>21</v>
      </c>
      <c r="F8" s="2">
        <v>17</v>
      </c>
      <c r="H8" s="5" t="s">
        <v>12</v>
      </c>
      <c r="I8" s="2">
        <f>_xlfn.NORM.S.DIST(I7,TRUE)*2</f>
        <v>6.27078904269329E-4</v>
      </c>
    </row>
    <row r="9" spans="1:9" x14ac:dyDescent="0.25">
      <c r="A9" s="6">
        <v>3</v>
      </c>
      <c r="B9" s="6">
        <v>2.25</v>
      </c>
      <c r="E9" s="2">
        <v>21</v>
      </c>
      <c r="F9" s="2">
        <v>12</v>
      </c>
    </row>
    <row r="10" spans="1:9" x14ac:dyDescent="0.25">
      <c r="A10" s="6">
        <v>10.5</v>
      </c>
      <c r="B10" s="6">
        <v>2.5499999999999998</v>
      </c>
      <c r="E10" s="2">
        <v>49</v>
      </c>
      <c r="F10" s="2">
        <v>16</v>
      </c>
    </row>
    <row r="11" spans="1:9" x14ac:dyDescent="0.25">
      <c r="A11" s="6">
        <v>15</v>
      </c>
      <c r="B11" s="6">
        <v>3</v>
      </c>
      <c r="E11" s="2">
        <v>59</v>
      </c>
      <c r="F11" s="2">
        <v>21</v>
      </c>
    </row>
    <row r="12" spans="1:9" x14ac:dyDescent="0.25">
      <c r="A12" s="6">
        <v>4.5</v>
      </c>
      <c r="B12" s="6">
        <v>0.75</v>
      </c>
      <c r="E12" s="2">
        <v>29.5</v>
      </c>
      <c r="F12" s="2">
        <v>1.5</v>
      </c>
    </row>
    <row r="13" spans="1:9" x14ac:dyDescent="0.25">
      <c r="A13" s="6">
        <v>6</v>
      </c>
      <c r="B13" s="6">
        <v>3.3</v>
      </c>
      <c r="E13" s="2">
        <v>35</v>
      </c>
      <c r="F13" s="2">
        <v>25</v>
      </c>
    </row>
    <row r="14" spans="1:9" x14ac:dyDescent="0.25">
      <c r="A14" s="6">
        <v>6.75</v>
      </c>
      <c r="B14" s="6">
        <v>13</v>
      </c>
      <c r="E14" s="2">
        <v>37</v>
      </c>
      <c r="F14" s="2">
        <v>55.5</v>
      </c>
    </row>
    <row r="15" spans="1:9" x14ac:dyDescent="0.25">
      <c r="A15" s="6">
        <v>13.5</v>
      </c>
      <c r="B15" s="6">
        <v>0.75</v>
      </c>
      <c r="E15" s="2">
        <v>57</v>
      </c>
      <c r="F15" s="2">
        <v>1.5</v>
      </c>
    </row>
    <row r="16" spans="1:9" x14ac:dyDescent="0.25">
      <c r="A16" s="6">
        <v>2.2000000000000002</v>
      </c>
      <c r="B16" s="6">
        <v>2.5</v>
      </c>
      <c r="E16" s="2">
        <v>9.5</v>
      </c>
      <c r="F16" s="2">
        <v>14.5</v>
      </c>
    </row>
    <row r="17" spans="1:6" x14ac:dyDescent="0.25">
      <c r="A17" s="6">
        <v>8.25</v>
      </c>
      <c r="B17" s="6">
        <v>5.25</v>
      </c>
      <c r="E17" s="2">
        <v>43.5</v>
      </c>
      <c r="F17" s="2">
        <v>33</v>
      </c>
    </row>
    <row r="18" spans="1:6" x14ac:dyDescent="0.25">
      <c r="A18" s="6">
        <v>3</v>
      </c>
      <c r="B18" s="6">
        <v>6</v>
      </c>
      <c r="E18" s="2">
        <v>21</v>
      </c>
      <c r="F18" s="2">
        <v>35</v>
      </c>
    </row>
    <row r="19" spans="1:6" x14ac:dyDescent="0.25">
      <c r="A19" s="6">
        <v>9</v>
      </c>
      <c r="B19" s="6">
        <v>1.8</v>
      </c>
      <c r="E19" s="2">
        <v>45.5</v>
      </c>
      <c r="F19" s="2">
        <v>3.5</v>
      </c>
    </row>
    <row r="20" spans="1:6" x14ac:dyDescent="0.25">
      <c r="A20" s="6">
        <v>7.5</v>
      </c>
      <c r="B20" s="6">
        <v>11</v>
      </c>
      <c r="E20" s="2">
        <v>41.5</v>
      </c>
      <c r="F20" s="2">
        <v>50</v>
      </c>
    </row>
    <row r="21" spans="1:6" x14ac:dyDescent="0.25">
      <c r="A21" s="6">
        <v>4.5</v>
      </c>
      <c r="B21" s="6">
        <v>1.875</v>
      </c>
      <c r="E21" s="2">
        <v>29.5</v>
      </c>
      <c r="F21" s="2">
        <v>5</v>
      </c>
    </row>
    <row r="22" spans="1:6" x14ac:dyDescent="0.25">
      <c r="A22" s="6">
        <v>4.5</v>
      </c>
      <c r="B22" s="6">
        <v>7</v>
      </c>
      <c r="E22" s="2">
        <v>29.5</v>
      </c>
      <c r="F22" s="2">
        <v>39</v>
      </c>
    </row>
    <row r="23" spans="1:6" x14ac:dyDescent="0.25">
      <c r="A23" s="6">
        <v>9.75</v>
      </c>
      <c r="B23" s="6">
        <v>4</v>
      </c>
      <c r="E23" s="2">
        <v>47</v>
      </c>
      <c r="F23" s="2">
        <v>26.5</v>
      </c>
    </row>
    <row r="24" spans="1:6" x14ac:dyDescent="0.25">
      <c r="A24" s="6">
        <v>7.5</v>
      </c>
      <c r="B24" s="6">
        <v>14</v>
      </c>
      <c r="E24" s="2">
        <v>41.5</v>
      </c>
      <c r="F24" s="2">
        <v>58</v>
      </c>
    </row>
    <row r="25" spans="1:6" x14ac:dyDescent="0.25">
      <c r="A25" s="6">
        <v>11.25</v>
      </c>
      <c r="B25" s="6">
        <v>3</v>
      </c>
      <c r="E25" s="2">
        <v>51.5</v>
      </c>
      <c r="F25" s="2">
        <v>21</v>
      </c>
    </row>
    <row r="26" spans="1:6" x14ac:dyDescent="0.25">
      <c r="A26" s="6">
        <v>16</v>
      </c>
      <c r="B26" s="6">
        <v>2</v>
      </c>
      <c r="E26" s="2">
        <v>60</v>
      </c>
      <c r="F26" s="2">
        <v>7</v>
      </c>
    </row>
    <row r="27" spans="1:6" x14ac:dyDescent="0.25">
      <c r="A27" s="6">
        <v>13</v>
      </c>
      <c r="B27" s="6">
        <v>11.25</v>
      </c>
      <c r="E27" s="2">
        <v>55.5</v>
      </c>
      <c r="F27" s="2">
        <v>51.5</v>
      </c>
    </row>
    <row r="28" spans="1:6" x14ac:dyDescent="0.25">
      <c r="A28" s="6">
        <v>4.5</v>
      </c>
      <c r="B28" s="6">
        <v>9</v>
      </c>
      <c r="E28" s="2">
        <v>29.5</v>
      </c>
      <c r="F28" s="2">
        <v>45.5</v>
      </c>
    </row>
    <row r="29" spans="1:6" x14ac:dyDescent="0.25">
      <c r="A29" s="6">
        <v>8.25</v>
      </c>
      <c r="B29" s="6">
        <v>3</v>
      </c>
      <c r="E29" s="2">
        <v>43.5</v>
      </c>
      <c r="F29" s="2">
        <v>21</v>
      </c>
    </row>
    <row r="30" spans="1:6" x14ac:dyDescent="0.25">
      <c r="A30" s="6">
        <v>6</v>
      </c>
      <c r="B30" s="6">
        <v>1.8</v>
      </c>
      <c r="E30" s="2">
        <v>35</v>
      </c>
      <c r="F30" s="2">
        <v>3.5</v>
      </c>
    </row>
    <row r="31" spans="1:6" x14ac:dyDescent="0.25">
      <c r="A31" s="6">
        <v>10</v>
      </c>
      <c r="B31" s="6">
        <v>2.25</v>
      </c>
      <c r="E31" s="2">
        <v>48</v>
      </c>
      <c r="F31" s="2">
        <v>12</v>
      </c>
    </row>
    <row r="32" spans="1:6" x14ac:dyDescent="0.25">
      <c r="A32" s="6">
        <v>3</v>
      </c>
      <c r="B32" s="6">
        <v>7</v>
      </c>
      <c r="E32" s="2">
        <v>21</v>
      </c>
      <c r="F32" s="2">
        <v>39</v>
      </c>
    </row>
    <row r="33" spans="1:6" x14ac:dyDescent="0.25">
      <c r="D33" s="4" t="s">
        <v>6</v>
      </c>
      <c r="E33" s="3">
        <f>COUNTA(E3:E32)</f>
        <v>30</v>
      </c>
      <c r="F33" s="3">
        <f>COUNTA(F3:F32)</f>
        <v>30</v>
      </c>
    </row>
    <row r="34" spans="1:6" x14ac:dyDescent="0.25">
      <c r="A34" s="6">
        <f>MEDIAN(A3:A32)</f>
        <v>7.25</v>
      </c>
      <c r="B34" s="6">
        <f>MEDIAN(B3:B32)</f>
        <v>2.8</v>
      </c>
      <c r="D34" s="1" t="s">
        <v>7</v>
      </c>
      <c r="E34" s="2">
        <f>SUM(E3:E32)</f>
        <v>1146</v>
      </c>
      <c r="F34" s="2">
        <f>SUM(F3:F32)</f>
        <v>684</v>
      </c>
    </row>
  </sheetData>
  <sortState xmlns:xlrd2="http://schemas.microsoft.com/office/spreadsheetml/2017/richdata2" ref="F3:F22">
    <sortCondition ref="F3:F22"/>
  </sortState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3469-700E-4F87-A497-A0C74A6C6622}">
  <dimension ref="A1:I62"/>
  <sheetViews>
    <sheetView showGridLines="0" zoomScaleNormal="100" workbookViewId="0">
      <selection activeCell="H13" sqref="H13"/>
    </sheetView>
  </sheetViews>
  <sheetFormatPr baseColWidth="10" defaultColWidth="9.140625" defaultRowHeight="15" x14ac:dyDescent="0.25"/>
  <cols>
    <col min="1" max="4" width="9.140625" style="2"/>
    <col min="5" max="5" width="9.140625" style="2" customWidth="1"/>
    <col min="6" max="7" width="9.140625" style="2"/>
    <col min="8" max="8" width="14" style="2" bestFit="1" customWidth="1"/>
    <col min="9" max="16384" width="9.140625" style="2"/>
  </cols>
  <sheetData>
    <row r="1" spans="1:9" x14ac:dyDescent="0.25">
      <c r="A1" s="2" t="s">
        <v>36</v>
      </c>
      <c r="B1" s="2" t="s">
        <v>13</v>
      </c>
      <c r="C1" s="2" t="s">
        <v>19</v>
      </c>
      <c r="F1" s="1" t="s">
        <v>0</v>
      </c>
      <c r="G1" s="1" t="s">
        <v>1</v>
      </c>
      <c r="H1" s="1" t="s">
        <v>37</v>
      </c>
      <c r="I1" s="2">
        <f>COUNTIF(F2:F61,"&gt;0")</f>
        <v>30</v>
      </c>
    </row>
    <row r="2" spans="1:9" x14ac:dyDescent="0.25">
      <c r="A2" s="2" t="s">
        <v>1</v>
      </c>
      <c r="B2" s="6">
        <v>0.75</v>
      </c>
      <c r="C2" s="11">
        <v>1.5</v>
      </c>
      <c r="D2" s="11"/>
      <c r="F2" s="2">
        <f>IF(A2="CV",C2,0)</f>
        <v>0</v>
      </c>
      <c r="G2" s="2">
        <f>IF(A2="JB",C2,0)</f>
        <v>1.5</v>
      </c>
      <c r="H2" s="1" t="s">
        <v>38</v>
      </c>
      <c r="I2" s="2">
        <f>COUNTIF(G2:G61,"&gt;0")</f>
        <v>30</v>
      </c>
    </row>
    <row r="3" spans="1:9" x14ac:dyDescent="0.25">
      <c r="A3" s="2" t="s">
        <v>1</v>
      </c>
      <c r="B3" s="6">
        <v>0.75</v>
      </c>
      <c r="C3" s="11">
        <v>1.5</v>
      </c>
      <c r="D3" s="11"/>
      <c r="F3" s="2">
        <f t="shared" ref="F3:F60" si="0">IF(A3="CV",C3,0)</f>
        <v>0</v>
      </c>
      <c r="G3" s="2">
        <f t="shared" ref="G3:G60" si="1">IF(A3="JB",C3,0)</f>
        <v>1.5</v>
      </c>
      <c r="H3" s="1" t="s">
        <v>40</v>
      </c>
      <c r="I3" s="2">
        <f>((2^3-2)+(2^3-2)+(3^3-3)+(2^3-2)+(3^3-3)+(2^3-2)+(7^3-7)+(2^3-2)+(4^3-4)+(3^3-3)+(3^3-3)+(2^3-2)+(2^3-2)+(2^3-2)+(2^3-2)+(2^3-2)+(2^3-2))/12</f>
        <v>46.5</v>
      </c>
    </row>
    <row r="4" spans="1:9" x14ac:dyDescent="0.25">
      <c r="A4" s="2" t="s">
        <v>1</v>
      </c>
      <c r="B4" s="6">
        <v>1.8</v>
      </c>
      <c r="C4" s="11">
        <v>3.5</v>
      </c>
      <c r="D4" s="11"/>
      <c r="F4" s="2">
        <f t="shared" si="0"/>
        <v>0</v>
      </c>
      <c r="G4" s="2">
        <f t="shared" si="1"/>
        <v>3.5</v>
      </c>
      <c r="H4" s="2" t="s">
        <v>8</v>
      </c>
      <c r="I4" s="2">
        <f>I1*I2/2</f>
        <v>450</v>
      </c>
    </row>
    <row r="5" spans="1:9" x14ac:dyDescent="0.25">
      <c r="A5" s="2" t="s">
        <v>1</v>
      </c>
      <c r="B5" s="6">
        <v>1.8</v>
      </c>
      <c r="C5" s="11">
        <v>3.5</v>
      </c>
      <c r="D5" s="11"/>
      <c r="F5" s="2">
        <f t="shared" si="0"/>
        <v>0</v>
      </c>
      <c r="G5" s="2">
        <f t="shared" si="1"/>
        <v>3.5</v>
      </c>
      <c r="H5" s="1" t="s">
        <v>10</v>
      </c>
      <c r="I5" s="2">
        <f>30*30/(60^2-60)*((60^3-60)/12-(I3))</f>
        <v>4563.1779661016944</v>
      </c>
    </row>
    <row r="6" spans="1:9" x14ac:dyDescent="0.25">
      <c r="A6" s="2" t="s">
        <v>1</v>
      </c>
      <c r="B6" s="6">
        <v>1.875</v>
      </c>
      <c r="C6" s="11">
        <v>5</v>
      </c>
      <c r="D6" s="11"/>
      <c r="F6" s="2">
        <f t="shared" si="0"/>
        <v>0</v>
      </c>
      <c r="G6" s="2">
        <f t="shared" si="1"/>
        <v>5</v>
      </c>
      <c r="H6" s="1" t="s">
        <v>11</v>
      </c>
      <c r="I6" s="2">
        <f>(MIN(F62:G62)-I4)/SQRT(I5)</f>
        <v>-3.4196233705532904</v>
      </c>
    </row>
    <row r="7" spans="1:9" x14ac:dyDescent="0.25">
      <c r="A7" s="2" t="s">
        <v>0</v>
      </c>
      <c r="B7" s="6">
        <v>2</v>
      </c>
      <c r="C7" s="11">
        <v>7</v>
      </c>
      <c r="D7" s="11"/>
      <c r="F7" s="2">
        <f t="shared" si="0"/>
        <v>7</v>
      </c>
      <c r="G7" s="2">
        <f t="shared" si="1"/>
        <v>0</v>
      </c>
      <c r="H7" s="5" t="s">
        <v>12</v>
      </c>
      <c r="I7" s="2">
        <f>2*_xlfn.NORM.S.DIST(I6,TRUE)</f>
        <v>6.27078904269329E-4</v>
      </c>
    </row>
    <row r="8" spans="1:9" x14ac:dyDescent="0.25">
      <c r="A8" s="2" t="s">
        <v>1</v>
      </c>
      <c r="B8" s="6">
        <v>2</v>
      </c>
      <c r="C8" s="11">
        <v>7</v>
      </c>
      <c r="D8" s="11"/>
      <c r="F8" s="2">
        <f t="shared" si="0"/>
        <v>0</v>
      </c>
      <c r="G8" s="2">
        <f t="shared" si="1"/>
        <v>7</v>
      </c>
    </row>
    <row r="9" spans="1:9" x14ac:dyDescent="0.25">
      <c r="A9" s="2" t="s">
        <v>1</v>
      </c>
      <c r="B9" s="6">
        <v>2</v>
      </c>
      <c r="C9" s="11">
        <v>7</v>
      </c>
      <c r="D9" s="11"/>
      <c r="F9" s="2">
        <f t="shared" si="0"/>
        <v>0</v>
      </c>
      <c r="G9" s="2">
        <f t="shared" si="1"/>
        <v>7</v>
      </c>
    </row>
    <row r="10" spans="1:9" x14ac:dyDescent="0.25">
      <c r="A10" s="2" t="s">
        <v>0</v>
      </c>
      <c r="B10" s="6">
        <v>2.2000000000000002</v>
      </c>
      <c r="C10" s="11">
        <v>9.5</v>
      </c>
      <c r="D10" s="11"/>
      <c r="F10" s="2">
        <f t="shared" si="0"/>
        <v>9.5</v>
      </c>
      <c r="G10" s="2">
        <f t="shared" si="1"/>
        <v>0</v>
      </c>
    </row>
    <row r="11" spans="1:9" x14ac:dyDescent="0.25">
      <c r="A11" s="2" t="s">
        <v>1</v>
      </c>
      <c r="B11" s="6">
        <v>2.2000000000000002</v>
      </c>
      <c r="C11" s="11">
        <v>9.5</v>
      </c>
      <c r="D11" s="11"/>
      <c r="F11" s="2">
        <f t="shared" si="0"/>
        <v>0</v>
      </c>
      <c r="G11" s="2">
        <f t="shared" si="1"/>
        <v>9.5</v>
      </c>
    </row>
    <row r="12" spans="1:9" x14ac:dyDescent="0.25">
      <c r="A12" s="2" t="s">
        <v>1</v>
      </c>
      <c r="B12" s="6">
        <v>2.25</v>
      </c>
      <c r="C12" s="11">
        <v>12</v>
      </c>
      <c r="D12" s="11"/>
      <c r="F12" s="2">
        <f t="shared" si="0"/>
        <v>0</v>
      </c>
      <c r="G12" s="2">
        <f t="shared" si="1"/>
        <v>12</v>
      </c>
    </row>
    <row r="13" spans="1:9" x14ac:dyDescent="0.25">
      <c r="A13" s="2" t="s">
        <v>1</v>
      </c>
      <c r="B13" s="6">
        <v>2.25</v>
      </c>
      <c r="C13" s="11">
        <v>12</v>
      </c>
      <c r="D13" s="11"/>
      <c r="F13" s="2">
        <f t="shared" si="0"/>
        <v>0</v>
      </c>
      <c r="G13" s="2">
        <f t="shared" si="1"/>
        <v>12</v>
      </c>
    </row>
    <row r="14" spans="1:9" x14ac:dyDescent="0.25">
      <c r="A14" s="2" t="s">
        <v>1</v>
      </c>
      <c r="B14" s="6">
        <v>2.25</v>
      </c>
      <c r="C14" s="11">
        <v>12</v>
      </c>
      <c r="D14" s="11"/>
      <c r="F14" s="2">
        <f t="shared" si="0"/>
        <v>0</v>
      </c>
      <c r="G14" s="2">
        <f t="shared" si="1"/>
        <v>12</v>
      </c>
    </row>
    <row r="15" spans="1:9" x14ac:dyDescent="0.25">
      <c r="A15" s="2" t="s">
        <v>1</v>
      </c>
      <c r="B15" s="6">
        <v>2.5</v>
      </c>
      <c r="C15" s="11">
        <v>14.5</v>
      </c>
      <c r="D15" s="11"/>
      <c r="F15" s="2">
        <f t="shared" si="0"/>
        <v>0</v>
      </c>
      <c r="G15" s="2">
        <f t="shared" si="1"/>
        <v>14.5</v>
      </c>
    </row>
    <row r="16" spans="1:9" x14ac:dyDescent="0.25">
      <c r="A16" s="2" t="s">
        <v>1</v>
      </c>
      <c r="B16" s="6">
        <v>2.5</v>
      </c>
      <c r="C16" s="11">
        <v>14.5</v>
      </c>
      <c r="D16" s="11"/>
      <c r="F16" s="2">
        <f t="shared" si="0"/>
        <v>0</v>
      </c>
      <c r="G16" s="2">
        <f t="shared" si="1"/>
        <v>14.5</v>
      </c>
    </row>
    <row r="17" spans="1:7" x14ac:dyDescent="0.25">
      <c r="A17" s="2" t="s">
        <v>1</v>
      </c>
      <c r="B17" s="6">
        <v>2.5499999999999998</v>
      </c>
      <c r="C17" s="11">
        <v>16</v>
      </c>
      <c r="D17" s="11"/>
      <c r="F17" s="2">
        <f t="shared" si="0"/>
        <v>0</v>
      </c>
      <c r="G17" s="2">
        <f t="shared" si="1"/>
        <v>16</v>
      </c>
    </row>
    <row r="18" spans="1:7" x14ac:dyDescent="0.25">
      <c r="A18" s="2" t="s">
        <v>1</v>
      </c>
      <c r="B18" s="6">
        <v>2.6</v>
      </c>
      <c r="C18" s="11">
        <v>17</v>
      </c>
      <c r="D18" s="11"/>
      <c r="F18" s="2">
        <f t="shared" si="0"/>
        <v>0</v>
      </c>
      <c r="G18" s="2">
        <f t="shared" si="1"/>
        <v>17</v>
      </c>
    </row>
    <row r="19" spans="1:7" x14ac:dyDescent="0.25">
      <c r="A19" s="2" t="s">
        <v>0</v>
      </c>
      <c r="B19" s="6">
        <v>3</v>
      </c>
      <c r="C19" s="11">
        <v>21</v>
      </c>
      <c r="D19" s="11"/>
      <c r="F19" s="2">
        <f t="shared" si="0"/>
        <v>21</v>
      </c>
      <c r="G19" s="2">
        <f t="shared" si="1"/>
        <v>0</v>
      </c>
    </row>
    <row r="20" spans="1:7" x14ac:dyDescent="0.25">
      <c r="A20" s="2" t="s">
        <v>0</v>
      </c>
      <c r="B20" s="6">
        <v>3</v>
      </c>
      <c r="C20" s="11">
        <v>21</v>
      </c>
      <c r="D20" s="11"/>
      <c r="F20" s="2">
        <f t="shared" si="0"/>
        <v>21</v>
      </c>
      <c r="G20" s="2">
        <f t="shared" si="1"/>
        <v>0</v>
      </c>
    </row>
    <row r="21" spans="1:7" x14ac:dyDescent="0.25">
      <c r="A21" s="2" t="s">
        <v>0</v>
      </c>
      <c r="B21" s="6">
        <v>3</v>
      </c>
      <c r="C21" s="11">
        <v>21</v>
      </c>
      <c r="D21" s="11"/>
      <c r="F21" s="2">
        <f t="shared" si="0"/>
        <v>21</v>
      </c>
      <c r="G21" s="2">
        <f t="shared" si="1"/>
        <v>0</v>
      </c>
    </row>
    <row r="22" spans="1:7" x14ac:dyDescent="0.25">
      <c r="A22" s="2" t="s">
        <v>0</v>
      </c>
      <c r="B22" s="6">
        <v>3</v>
      </c>
      <c r="C22" s="11">
        <v>21</v>
      </c>
      <c r="D22" s="11"/>
      <c r="F22" s="2">
        <f t="shared" si="0"/>
        <v>21</v>
      </c>
      <c r="G22" s="2">
        <f t="shared" si="1"/>
        <v>0</v>
      </c>
    </row>
    <row r="23" spans="1:7" x14ac:dyDescent="0.25">
      <c r="A23" s="2" t="s">
        <v>1</v>
      </c>
      <c r="B23" s="6">
        <v>3</v>
      </c>
      <c r="C23" s="11">
        <v>21</v>
      </c>
      <c r="D23" s="11"/>
      <c r="F23" s="2">
        <f t="shared" si="0"/>
        <v>0</v>
      </c>
      <c r="G23" s="2">
        <f t="shared" si="1"/>
        <v>21</v>
      </c>
    </row>
    <row r="24" spans="1:7" x14ac:dyDescent="0.25">
      <c r="A24" s="2" t="s">
        <v>1</v>
      </c>
      <c r="B24" s="6">
        <v>3</v>
      </c>
      <c r="C24" s="11">
        <v>21</v>
      </c>
      <c r="D24" s="11"/>
      <c r="F24" s="2">
        <f t="shared" si="0"/>
        <v>0</v>
      </c>
      <c r="G24" s="2">
        <f t="shared" si="1"/>
        <v>21</v>
      </c>
    </row>
    <row r="25" spans="1:7" x14ac:dyDescent="0.25">
      <c r="A25" s="2" t="s">
        <v>1</v>
      </c>
      <c r="B25" s="6">
        <v>3</v>
      </c>
      <c r="C25" s="11">
        <v>21</v>
      </c>
      <c r="D25" s="11"/>
      <c r="F25" s="2">
        <f t="shared" si="0"/>
        <v>0</v>
      </c>
      <c r="G25" s="2">
        <f t="shared" si="1"/>
        <v>21</v>
      </c>
    </row>
    <row r="26" spans="1:7" x14ac:dyDescent="0.25">
      <c r="A26" s="2" t="s">
        <v>1</v>
      </c>
      <c r="B26" s="6">
        <v>3.3</v>
      </c>
      <c r="C26" s="11">
        <v>25</v>
      </c>
      <c r="D26" s="11"/>
      <c r="F26" s="2">
        <f t="shared" si="0"/>
        <v>0</v>
      </c>
      <c r="G26" s="2">
        <f t="shared" si="1"/>
        <v>25</v>
      </c>
    </row>
    <row r="27" spans="1:7" x14ac:dyDescent="0.25">
      <c r="A27" s="2" t="s">
        <v>1</v>
      </c>
      <c r="B27" s="6">
        <v>4</v>
      </c>
      <c r="C27" s="11">
        <v>26.5</v>
      </c>
      <c r="D27" s="11"/>
      <c r="F27" s="2">
        <f t="shared" si="0"/>
        <v>0</v>
      </c>
      <c r="G27" s="2">
        <f t="shared" si="1"/>
        <v>26.5</v>
      </c>
    </row>
    <row r="28" spans="1:7" x14ac:dyDescent="0.25">
      <c r="A28" s="2" t="s">
        <v>1</v>
      </c>
      <c r="B28" s="6">
        <v>4</v>
      </c>
      <c r="C28" s="11">
        <v>26.5</v>
      </c>
      <c r="D28" s="11"/>
      <c r="F28" s="2">
        <f t="shared" si="0"/>
        <v>0</v>
      </c>
      <c r="G28" s="2">
        <f t="shared" si="1"/>
        <v>26.5</v>
      </c>
    </row>
    <row r="29" spans="1:7" x14ac:dyDescent="0.25">
      <c r="A29" s="2" t="s">
        <v>0</v>
      </c>
      <c r="B29" s="6">
        <v>4.5</v>
      </c>
      <c r="C29" s="11">
        <v>29.5</v>
      </c>
      <c r="D29" s="11"/>
      <c r="F29" s="2">
        <f t="shared" si="0"/>
        <v>29.5</v>
      </c>
      <c r="G29" s="2">
        <f t="shared" si="1"/>
        <v>0</v>
      </c>
    </row>
    <row r="30" spans="1:7" x14ac:dyDescent="0.25">
      <c r="A30" s="2" t="s">
        <v>0</v>
      </c>
      <c r="B30" s="6">
        <v>4.5</v>
      </c>
      <c r="C30" s="11">
        <v>29.5</v>
      </c>
      <c r="D30" s="11"/>
      <c r="F30" s="2">
        <f t="shared" si="0"/>
        <v>29.5</v>
      </c>
      <c r="G30" s="2">
        <f t="shared" si="1"/>
        <v>0</v>
      </c>
    </row>
    <row r="31" spans="1:7" x14ac:dyDescent="0.25">
      <c r="A31" s="2" t="s">
        <v>0</v>
      </c>
      <c r="B31" s="6">
        <v>4.5</v>
      </c>
      <c r="C31" s="11">
        <v>29.5</v>
      </c>
      <c r="D31" s="11"/>
      <c r="F31" s="2">
        <f t="shared" si="0"/>
        <v>29.5</v>
      </c>
      <c r="G31" s="2">
        <f t="shared" si="1"/>
        <v>0</v>
      </c>
    </row>
    <row r="32" spans="1:7" x14ac:dyDescent="0.25">
      <c r="A32" s="2" t="s">
        <v>0</v>
      </c>
      <c r="B32" s="6">
        <v>4.5</v>
      </c>
      <c r="C32" s="11">
        <v>29.5</v>
      </c>
      <c r="D32" s="11"/>
      <c r="F32" s="2">
        <f t="shared" si="0"/>
        <v>29.5</v>
      </c>
      <c r="G32" s="2">
        <f t="shared" si="1"/>
        <v>0</v>
      </c>
    </row>
    <row r="33" spans="1:7" x14ac:dyDescent="0.25">
      <c r="A33" s="2" t="s">
        <v>0</v>
      </c>
      <c r="B33" s="6">
        <v>5</v>
      </c>
      <c r="C33" s="11">
        <v>32</v>
      </c>
      <c r="D33" s="11"/>
      <c r="F33" s="2">
        <f t="shared" si="0"/>
        <v>32</v>
      </c>
      <c r="G33" s="2">
        <f t="shared" si="1"/>
        <v>0</v>
      </c>
    </row>
    <row r="34" spans="1:7" x14ac:dyDescent="0.25">
      <c r="A34" s="2" t="s">
        <v>1</v>
      </c>
      <c r="B34" s="6">
        <v>5.25</v>
      </c>
      <c r="C34" s="11">
        <v>33</v>
      </c>
      <c r="D34" s="11"/>
      <c r="F34" s="2">
        <f t="shared" si="0"/>
        <v>0</v>
      </c>
      <c r="G34" s="2">
        <f t="shared" si="1"/>
        <v>33</v>
      </c>
    </row>
    <row r="35" spans="1:7" x14ac:dyDescent="0.25">
      <c r="A35" s="2" t="s">
        <v>0</v>
      </c>
      <c r="B35" s="6">
        <v>6</v>
      </c>
      <c r="C35" s="11">
        <v>35</v>
      </c>
      <c r="D35" s="11"/>
      <c r="F35" s="2">
        <f t="shared" si="0"/>
        <v>35</v>
      </c>
      <c r="G35" s="2">
        <f t="shared" si="1"/>
        <v>0</v>
      </c>
    </row>
    <row r="36" spans="1:7" x14ac:dyDescent="0.25">
      <c r="A36" s="2" t="s">
        <v>0</v>
      </c>
      <c r="B36" s="6">
        <v>6</v>
      </c>
      <c r="C36" s="11">
        <v>35</v>
      </c>
      <c r="D36" s="11"/>
      <c r="F36" s="2">
        <f t="shared" si="0"/>
        <v>35</v>
      </c>
      <c r="G36" s="2">
        <f t="shared" si="1"/>
        <v>0</v>
      </c>
    </row>
    <row r="37" spans="1:7" x14ac:dyDescent="0.25">
      <c r="A37" s="2" t="s">
        <v>1</v>
      </c>
      <c r="B37" s="6">
        <v>6</v>
      </c>
      <c r="C37" s="11">
        <v>35</v>
      </c>
      <c r="D37" s="11"/>
      <c r="F37" s="2">
        <f t="shared" si="0"/>
        <v>0</v>
      </c>
      <c r="G37" s="2">
        <f t="shared" si="1"/>
        <v>35</v>
      </c>
    </row>
    <row r="38" spans="1:7" x14ac:dyDescent="0.25">
      <c r="A38" s="2" t="s">
        <v>0</v>
      </c>
      <c r="B38" s="6">
        <v>6.75</v>
      </c>
      <c r="C38" s="11">
        <v>37</v>
      </c>
      <c r="D38" s="11"/>
      <c r="F38" s="2">
        <f t="shared" si="0"/>
        <v>37</v>
      </c>
      <c r="G38" s="2">
        <f t="shared" si="1"/>
        <v>0</v>
      </c>
    </row>
    <row r="39" spans="1:7" x14ac:dyDescent="0.25">
      <c r="A39" s="2" t="s">
        <v>0</v>
      </c>
      <c r="B39" s="6">
        <v>7</v>
      </c>
      <c r="C39" s="11">
        <v>39</v>
      </c>
      <c r="D39" s="11"/>
      <c r="F39" s="2">
        <f t="shared" si="0"/>
        <v>39</v>
      </c>
      <c r="G39" s="2">
        <f t="shared" si="1"/>
        <v>0</v>
      </c>
    </row>
    <row r="40" spans="1:7" x14ac:dyDescent="0.25">
      <c r="A40" s="2" t="s">
        <v>1</v>
      </c>
      <c r="B40" s="6">
        <v>7</v>
      </c>
      <c r="C40" s="11">
        <v>39</v>
      </c>
      <c r="D40" s="11"/>
      <c r="F40" s="2">
        <f t="shared" si="0"/>
        <v>0</v>
      </c>
      <c r="G40" s="2">
        <f t="shared" si="1"/>
        <v>39</v>
      </c>
    </row>
    <row r="41" spans="1:7" x14ac:dyDescent="0.25">
      <c r="A41" s="2" t="s">
        <v>1</v>
      </c>
      <c r="B41" s="6">
        <v>7</v>
      </c>
      <c r="C41" s="11">
        <v>39</v>
      </c>
      <c r="D41" s="11"/>
      <c r="F41" s="2">
        <f t="shared" si="0"/>
        <v>0</v>
      </c>
      <c r="G41" s="2">
        <f t="shared" si="1"/>
        <v>39</v>
      </c>
    </row>
    <row r="42" spans="1:7" x14ac:dyDescent="0.25">
      <c r="A42" s="2" t="s">
        <v>0</v>
      </c>
      <c r="B42" s="6">
        <v>7.5</v>
      </c>
      <c r="C42" s="11">
        <v>41.5</v>
      </c>
      <c r="D42" s="11"/>
      <c r="F42" s="2">
        <f t="shared" si="0"/>
        <v>41.5</v>
      </c>
      <c r="G42" s="2">
        <f t="shared" si="1"/>
        <v>0</v>
      </c>
    </row>
    <row r="43" spans="1:7" x14ac:dyDescent="0.25">
      <c r="A43" s="2" t="s">
        <v>0</v>
      </c>
      <c r="B43" s="6">
        <v>7.5</v>
      </c>
      <c r="C43" s="11">
        <v>41.5</v>
      </c>
      <c r="D43" s="11"/>
      <c r="F43" s="2">
        <f t="shared" si="0"/>
        <v>41.5</v>
      </c>
      <c r="G43" s="2">
        <f t="shared" si="1"/>
        <v>0</v>
      </c>
    </row>
    <row r="44" spans="1:7" x14ac:dyDescent="0.25">
      <c r="A44" s="2" t="s">
        <v>0</v>
      </c>
      <c r="B44" s="6">
        <v>8.25</v>
      </c>
      <c r="C44" s="11">
        <v>43.5</v>
      </c>
      <c r="D44" s="11"/>
      <c r="F44" s="2">
        <f t="shared" si="0"/>
        <v>43.5</v>
      </c>
      <c r="G44" s="2">
        <f t="shared" si="1"/>
        <v>0</v>
      </c>
    </row>
    <row r="45" spans="1:7" x14ac:dyDescent="0.25">
      <c r="A45" s="2" t="s">
        <v>0</v>
      </c>
      <c r="B45" s="6">
        <v>8.25</v>
      </c>
      <c r="C45" s="11">
        <v>43.5</v>
      </c>
      <c r="D45" s="11"/>
      <c r="F45" s="2">
        <f t="shared" si="0"/>
        <v>43.5</v>
      </c>
      <c r="G45" s="2">
        <f t="shared" si="1"/>
        <v>0</v>
      </c>
    </row>
    <row r="46" spans="1:7" x14ac:dyDescent="0.25">
      <c r="A46" s="2" t="s">
        <v>0</v>
      </c>
      <c r="B46" s="6">
        <v>9</v>
      </c>
      <c r="C46" s="11">
        <v>45.5</v>
      </c>
      <c r="D46" s="11"/>
      <c r="F46" s="2">
        <f t="shared" si="0"/>
        <v>45.5</v>
      </c>
      <c r="G46" s="2">
        <f t="shared" si="1"/>
        <v>0</v>
      </c>
    </row>
    <row r="47" spans="1:7" x14ac:dyDescent="0.25">
      <c r="A47" s="2" t="s">
        <v>1</v>
      </c>
      <c r="B47" s="6">
        <v>9</v>
      </c>
      <c r="C47" s="11">
        <v>45.5</v>
      </c>
      <c r="D47" s="11"/>
      <c r="F47" s="2">
        <f t="shared" si="0"/>
        <v>0</v>
      </c>
      <c r="G47" s="2">
        <f t="shared" si="1"/>
        <v>45.5</v>
      </c>
    </row>
    <row r="48" spans="1:7" x14ac:dyDescent="0.25">
      <c r="A48" s="2" t="s">
        <v>0</v>
      </c>
      <c r="B48" s="6">
        <v>9.75</v>
      </c>
      <c r="C48" s="11">
        <v>47</v>
      </c>
      <c r="D48" s="11"/>
      <c r="F48" s="2">
        <f t="shared" si="0"/>
        <v>47</v>
      </c>
      <c r="G48" s="2">
        <f t="shared" si="1"/>
        <v>0</v>
      </c>
    </row>
    <row r="49" spans="1:7" x14ac:dyDescent="0.25">
      <c r="A49" s="2" t="s">
        <v>0</v>
      </c>
      <c r="B49" s="6">
        <v>10</v>
      </c>
      <c r="C49" s="11">
        <v>48</v>
      </c>
      <c r="D49" s="11"/>
      <c r="F49" s="2">
        <f t="shared" si="0"/>
        <v>48</v>
      </c>
      <c r="G49" s="2">
        <f t="shared" si="1"/>
        <v>0</v>
      </c>
    </row>
    <row r="50" spans="1:7" x14ac:dyDescent="0.25">
      <c r="A50" s="2" t="s">
        <v>0</v>
      </c>
      <c r="B50" s="6">
        <v>10.5</v>
      </c>
      <c r="C50" s="11">
        <v>49</v>
      </c>
      <c r="D50" s="11"/>
      <c r="F50" s="2">
        <f t="shared" si="0"/>
        <v>49</v>
      </c>
      <c r="G50" s="2">
        <f t="shared" si="1"/>
        <v>0</v>
      </c>
    </row>
    <row r="51" spans="1:7" x14ac:dyDescent="0.25">
      <c r="A51" s="2" t="s">
        <v>1</v>
      </c>
      <c r="B51" s="6">
        <v>11</v>
      </c>
      <c r="C51" s="11">
        <v>50</v>
      </c>
      <c r="D51" s="11"/>
      <c r="F51" s="2">
        <f t="shared" si="0"/>
        <v>0</v>
      </c>
      <c r="G51" s="2">
        <f t="shared" si="1"/>
        <v>50</v>
      </c>
    </row>
    <row r="52" spans="1:7" x14ac:dyDescent="0.25">
      <c r="A52" s="2" t="s">
        <v>0</v>
      </c>
      <c r="B52" s="6">
        <v>11.25</v>
      </c>
      <c r="C52" s="11">
        <v>51.5</v>
      </c>
      <c r="D52" s="11"/>
      <c r="F52" s="2">
        <f t="shared" si="0"/>
        <v>51.5</v>
      </c>
      <c r="G52" s="2">
        <f t="shared" si="1"/>
        <v>0</v>
      </c>
    </row>
    <row r="53" spans="1:7" x14ac:dyDescent="0.25">
      <c r="A53" s="2" t="s">
        <v>1</v>
      </c>
      <c r="B53" s="6">
        <v>11.25</v>
      </c>
      <c r="C53" s="11">
        <v>51.5</v>
      </c>
      <c r="D53" s="11"/>
      <c r="F53" s="2">
        <f t="shared" si="0"/>
        <v>0</v>
      </c>
      <c r="G53" s="2">
        <f t="shared" si="1"/>
        <v>51.5</v>
      </c>
    </row>
    <row r="54" spans="1:7" x14ac:dyDescent="0.25">
      <c r="A54" s="2" t="s">
        <v>0</v>
      </c>
      <c r="B54" s="6">
        <v>12</v>
      </c>
      <c r="C54" s="11">
        <v>53.5</v>
      </c>
      <c r="D54" s="11"/>
      <c r="F54" s="2">
        <f t="shared" si="0"/>
        <v>53.5</v>
      </c>
      <c r="G54" s="2">
        <f t="shared" si="1"/>
        <v>0</v>
      </c>
    </row>
    <row r="55" spans="1:7" x14ac:dyDescent="0.25">
      <c r="A55" s="2" t="s">
        <v>0</v>
      </c>
      <c r="B55" s="6">
        <v>12</v>
      </c>
      <c r="C55" s="11">
        <v>53.5</v>
      </c>
      <c r="D55" s="11"/>
      <c r="F55" s="2">
        <f t="shared" si="0"/>
        <v>53.5</v>
      </c>
      <c r="G55" s="2">
        <f t="shared" si="1"/>
        <v>0</v>
      </c>
    </row>
    <row r="56" spans="1:7" x14ac:dyDescent="0.25">
      <c r="A56" s="2" t="s">
        <v>0</v>
      </c>
      <c r="B56" s="6">
        <v>13</v>
      </c>
      <c r="C56" s="11">
        <v>55.5</v>
      </c>
      <c r="D56" s="11"/>
      <c r="F56" s="2">
        <f t="shared" si="0"/>
        <v>55.5</v>
      </c>
      <c r="G56" s="2">
        <f t="shared" si="1"/>
        <v>0</v>
      </c>
    </row>
    <row r="57" spans="1:7" x14ac:dyDescent="0.25">
      <c r="A57" s="2" t="s">
        <v>1</v>
      </c>
      <c r="B57" s="6">
        <v>13</v>
      </c>
      <c r="C57" s="11">
        <v>55.5</v>
      </c>
      <c r="D57" s="11"/>
      <c r="F57" s="2">
        <f t="shared" si="0"/>
        <v>0</v>
      </c>
      <c r="G57" s="2">
        <f t="shared" si="1"/>
        <v>55.5</v>
      </c>
    </row>
    <row r="58" spans="1:7" x14ac:dyDescent="0.25">
      <c r="A58" s="2" t="s">
        <v>0</v>
      </c>
      <c r="B58" s="6">
        <v>13.5</v>
      </c>
      <c r="C58" s="11">
        <v>57</v>
      </c>
      <c r="D58" s="11"/>
      <c r="F58" s="2">
        <f t="shared" si="0"/>
        <v>57</v>
      </c>
      <c r="G58" s="2">
        <f t="shared" si="1"/>
        <v>0</v>
      </c>
    </row>
    <row r="59" spans="1:7" x14ac:dyDescent="0.25">
      <c r="A59" s="2" t="s">
        <v>1</v>
      </c>
      <c r="B59" s="6">
        <v>14</v>
      </c>
      <c r="C59" s="11">
        <v>58</v>
      </c>
      <c r="D59" s="11"/>
      <c r="F59" s="2">
        <f t="shared" si="0"/>
        <v>0</v>
      </c>
      <c r="G59" s="2">
        <f t="shared" si="1"/>
        <v>58</v>
      </c>
    </row>
    <row r="60" spans="1:7" x14ac:dyDescent="0.25">
      <c r="A60" s="2" t="s">
        <v>0</v>
      </c>
      <c r="B60" s="6">
        <v>15</v>
      </c>
      <c r="C60" s="11">
        <v>59</v>
      </c>
      <c r="D60" s="11"/>
      <c r="F60" s="2">
        <f t="shared" si="0"/>
        <v>59</v>
      </c>
      <c r="G60" s="2">
        <f t="shared" si="1"/>
        <v>0</v>
      </c>
    </row>
    <row r="61" spans="1:7" ht="15.75" thickBot="1" x14ac:dyDescent="0.3">
      <c r="A61" s="2" t="s">
        <v>0</v>
      </c>
      <c r="B61" s="6">
        <v>16</v>
      </c>
      <c r="C61" s="11">
        <v>60</v>
      </c>
      <c r="D61" s="11"/>
      <c r="F61" s="9">
        <f>IF(A61="CV",C61,0)</f>
        <v>60</v>
      </c>
      <c r="G61" s="9">
        <f>IF(A61="JB",C61,0)</f>
        <v>0</v>
      </c>
    </row>
    <row r="62" spans="1:7" ht="15.75" thickTop="1" x14ac:dyDescent="0.25">
      <c r="E62" s="1" t="s">
        <v>39</v>
      </c>
      <c r="F62" s="2">
        <f>$I$1*$I$2+(I1*(I1+1))/2-SUM(F2:F61)</f>
        <v>219</v>
      </c>
      <c r="G62" s="2">
        <f>$I$1*$I$2+(I2*(I2+1))/2-SUM(G2:G61)</f>
        <v>681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69C5-D9EA-4C90-977D-FF17030355F5}">
  <dimension ref="A1:I11"/>
  <sheetViews>
    <sheetView showGridLines="0" tabSelected="1" workbookViewId="0">
      <selection activeCell="E9" sqref="E9"/>
    </sheetView>
  </sheetViews>
  <sheetFormatPr baseColWidth="10" defaultRowHeight="15" x14ac:dyDescent="0.25"/>
  <cols>
    <col min="1" max="1" width="14.28515625" style="2" customWidth="1"/>
    <col min="2" max="16384" width="11.42578125" style="2"/>
  </cols>
  <sheetData>
    <row r="1" spans="1:9" x14ac:dyDescent="0.2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 x14ac:dyDescent="0.25">
      <c r="A2" s="2">
        <v>1</v>
      </c>
      <c r="B2" s="2">
        <v>38.51</v>
      </c>
      <c r="C2" s="2">
        <v>39.32</v>
      </c>
      <c r="D2" s="2">
        <f>Tabla2[[#This Row],[brain]]-Tabla2[[#This Row],[carotid]]</f>
        <v>0.81000000000000227</v>
      </c>
      <c r="E2" s="2">
        <f>ABS(Tabla2[[#This Row],[diff]])</f>
        <v>0.81000000000000227</v>
      </c>
      <c r="F2" s="2">
        <v>5</v>
      </c>
      <c r="G2" s="2">
        <f>Tabla2[[#This Row],[ranking]]^2</f>
        <v>25</v>
      </c>
      <c r="H2" s="11">
        <f>IF(Tabla2[[#This Row],[ranking]]&gt;0,Tabla2[[#This Row],[ranking]],0)</f>
        <v>5</v>
      </c>
      <c r="I2" s="11">
        <f>IF(Tabla2[[#This Row],[ranking]]&lt;0,Tabla2[[#This Row],[ranking]],0)</f>
        <v>0</v>
      </c>
    </row>
    <row r="3" spans="1:9" x14ac:dyDescent="0.25">
      <c r="A3" s="2">
        <v>2</v>
      </c>
      <c r="B3" s="2">
        <v>38.450000000000003</v>
      </c>
      <c r="C3" s="2">
        <v>39.21</v>
      </c>
      <c r="D3" s="2">
        <f>Tabla2[[#This Row],[brain]]-Tabla2[[#This Row],[carotid]]</f>
        <v>0.75999999999999801</v>
      </c>
      <c r="E3" s="2">
        <f>ABS(Tabla2[[#This Row],[diff]])</f>
        <v>0.75999999999999801</v>
      </c>
      <c r="F3" s="2">
        <v>3.5</v>
      </c>
      <c r="G3" s="2">
        <f>Tabla2[[#This Row],[ranking]]^2</f>
        <v>12.25</v>
      </c>
      <c r="H3" s="11">
        <f>IF(Tabla2[[#This Row],[ranking]]&gt;0,Tabla2[[#This Row],[ranking]],0)</f>
        <v>3.5</v>
      </c>
      <c r="I3" s="11">
        <f>IF(Tabla2[[#This Row],[ranking]]&lt;0,Tabla2[[#This Row],[ranking]],0)</f>
        <v>0</v>
      </c>
    </row>
    <row r="4" spans="1:9" x14ac:dyDescent="0.25">
      <c r="A4" s="2">
        <v>3</v>
      </c>
      <c r="B4" s="2">
        <v>38.270000000000003</v>
      </c>
      <c r="C4" s="2">
        <v>39.200000000000003</v>
      </c>
      <c r="D4" s="2">
        <f>Tabla2[[#This Row],[brain]]-Tabla2[[#This Row],[carotid]]</f>
        <v>0.92999999999999972</v>
      </c>
      <c r="E4" s="2">
        <f>ABS(Tabla2[[#This Row],[diff]])</f>
        <v>0.92999999999999972</v>
      </c>
      <c r="F4" s="2">
        <v>6</v>
      </c>
      <c r="G4" s="2">
        <f>Tabla2[[#This Row],[ranking]]^2</f>
        <v>36</v>
      </c>
      <c r="H4" s="11">
        <f>IF(Tabla2[[#This Row],[ranking]]&gt;0,Tabla2[[#This Row],[ranking]],0)</f>
        <v>6</v>
      </c>
      <c r="I4" s="11">
        <f>IF(Tabla2[[#This Row],[ranking]]&lt;0,Tabla2[[#This Row],[ranking]],0)</f>
        <v>0</v>
      </c>
    </row>
    <row r="5" spans="1:9" x14ac:dyDescent="0.25">
      <c r="A5" s="2">
        <v>4</v>
      </c>
      <c r="B5" s="2">
        <v>38.520000000000003</v>
      </c>
      <c r="C5" s="2">
        <v>38.68</v>
      </c>
      <c r="D5" s="2">
        <f>Tabla2[[#This Row],[brain]]-Tabla2[[#This Row],[carotid]]</f>
        <v>0.15999999999999659</v>
      </c>
      <c r="E5" s="2">
        <f>ABS(Tabla2[[#This Row],[diff]])</f>
        <v>0.15999999999999659</v>
      </c>
      <c r="F5" s="2">
        <v>1</v>
      </c>
      <c r="G5" s="2">
        <f>Tabla2[[#This Row],[ranking]]^2</f>
        <v>1</v>
      </c>
      <c r="H5" s="11">
        <f>IF(Tabla2[[#This Row],[ranking]]&gt;0,Tabla2[[#This Row],[ranking]],0)</f>
        <v>1</v>
      </c>
      <c r="I5" s="11">
        <f>IF(Tabla2[[#This Row],[ranking]]&lt;0,Tabla2[[#This Row],[ranking]],0)</f>
        <v>0</v>
      </c>
    </row>
    <row r="6" spans="1:9" x14ac:dyDescent="0.25">
      <c r="A6" s="2">
        <v>5</v>
      </c>
      <c r="B6" s="2">
        <v>38.619999999999997</v>
      </c>
      <c r="C6" s="2">
        <v>39.090000000000003</v>
      </c>
      <c r="D6" s="2">
        <f>Tabla2[[#This Row],[brain]]-Tabla2[[#This Row],[carotid]]</f>
        <v>0.47000000000000597</v>
      </c>
      <c r="E6" s="2">
        <f>ABS(Tabla2[[#This Row],[diff]])</f>
        <v>0.47000000000000597</v>
      </c>
      <c r="F6" s="2">
        <v>2</v>
      </c>
      <c r="G6" s="2">
        <f>Tabla2[[#This Row],[ranking]]^2</f>
        <v>4</v>
      </c>
      <c r="H6" s="11">
        <f>IF(Tabla2[[#This Row],[ranking]]&gt;0,Tabla2[[#This Row],[ranking]],0)</f>
        <v>2</v>
      </c>
      <c r="I6" s="11">
        <f>IF(Tabla2[[#This Row],[ranking]]&lt;0,Tabla2[[#This Row],[ranking]],0)</f>
        <v>0</v>
      </c>
    </row>
    <row r="7" spans="1:9" x14ac:dyDescent="0.25">
      <c r="A7" s="2">
        <v>6</v>
      </c>
      <c r="B7" s="2">
        <v>38.18</v>
      </c>
      <c r="C7" s="2">
        <v>38.94</v>
      </c>
      <c r="D7" s="2">
        <f>Tabla2[[#This Row],[brain]]-Tabla2[[#This Row],[carotid]]</f>
        <v>0.75999999999999801</v>
      </c>
      <c r="E7" s="2">
        <f>ABS(Tabla2[[#This Row],[diff]])</f>
        <v>0.75999999999999801</v>
      </c>
      <c r="F7" s="2">
        <v>3.5</v>
      </c>
      <c r="G7" s="2">
        <f>Tabla2[[#This Row],[ranking]]^2</f>
        <v>12.25</v>
      </c>
      <c r="H7" s="11">
        <f>IF(Tabla2[[#This Row],[ranking]]&gt;0,Tabla2[[#This Row],[ranking]],0)</f>
        <v>3.5</v>
      </c>
      <c r="I7" s="11">
        <f>IF(Tabla2[[#This Row],[ranking]]&lt;0,Tabla2[[#This Row],[ranking]],0)</f>
        <v>0</v>
      </c>
    </row>
    <row r="8" spans="1:9" x14ac:dyDescent="0.25">
      <c r="F8" s="2">
        <f>SUM(Tabla2[ranking])</f>
        <v>21</v>
      </c>
      <c r="G8" s="2">
        <f>SUM(Tabla2[Ri^2])</f>
        <v>90.5</v>
      </c>
      <c r="H8" s="2">
        <f>SUM(Tabla2[Ri+])</f>
        <v>21</v>
      </c>
      <c r="I8" s="2">
        <f>SUM(Tabla2[Ri-])</f>
        <v>0</v>
      </c>
    </row>
    <row r="9" spans="1:9" x14ac:dyDescent="0.25">
      <c r="A9" s="2" t="s">
        <v>20</v>
      </c>
      <c r="B9" s="2">
        <f>MIN(Tabla2[[#Totals],[Ri+]:[Ri-]])</f>
        <v>0</v>
      </c>
      <c r="D9" s="1" t="s">
        <v>20</v>
      </c>
      <c r="E9" s="8">
        <f>Tabla2[[#Totals],[ranking]]/SQRT(Tabla2[[#Totals],[Ri^2]])</f>
        <v>2.2074709911560744</v>
      </c>
    </row>
    <row r="10" spans="1:9" x14ac:dyDescent="0.25">
      <c r="A10" s="1" t="s">
        <v>34</v>
      </c>
      <c r="B10" s="2">
        <v>0</v>
      </c>
      <c r="D10" s="1" t="s">
        <v>11</v>
      </c>
      <c r="E10" s="6">
        <f>_xlfn.NORM.S.INV(0.975)</f>
        <v>1.9599639845400536</v>
      </c>
    </row>
    <row r="11" spans="1:9" x14ac:dyDescent="0.25">
      <c r="A11" s="1" t="s">
        <v>41</v>
      </c>
      <c r="B11" s="2" t="str">
        <f>IF(B9&lt;=B10,"Sí","No")</f>
        <v>Sí</v>
      </c>
      <c r="D11" s="5" t="s">
        <v>21</v>
      </c>
      <c r="E11" s="2">
        <f>2*(1-_xlfn.NORM.S.DIST(E9,TRUE))</f>
        <v>2.7281171477617994E-2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71BE-561D-462D-A3EE-6EBE41149561}">
  <dimension ref="A1:C16"/>
  <sheetViews>
    <sheetView workbookViewId="0">
      <selection activeCell="E11" sqref="E11"/>
    </sheetView>
  </sheetViews>
  <sheetFormatPr baseColWidth="10" defaultRowHeight="15" x14ac:dyDescent="0.25"/>
  <cols>
    <col min="1" max="16384" width="11.42578125" style="2"/>
  </cols>
  <sheetData>
    <row r="1" spans="1:3" x14ac:dyDescent="0.25">
      <c r="A1" s="2" t="s">
        <v>22</v>
      </c>
      <c r="B1" s="2" t="s">
        <v>23</v>
      </c>
      <c r="C1" s="2" t="s">
        <v>24</v>
      </c>
    </row>
    <row r="2" spans="1:3" x14ac:dyDescent="0.25">
      <c r="A2" s="8">
        <v>0.94399999999999995</v>
      </c>
      <c r="B2" s="8">
        <v>1.7729999999999999</v>
      </c>
      <c r="C2" s="8">
        <v>0.35349999999999998</v>
      </c>
    </row>
    <row r="3" spans="1:3" x14ac:dyDescent="0.25">
      <c r="A3" s="8">
        <v>1.27</v>
      </c>
      <c r="B3" s="8">
        <v>0.20699999999999999</v>
      </c>
      <c r="C3" s="8">
        <v>0.192</v>
      </c>
    </row>
    <row r="4" spans="1:3" x14ac:dyDescent="0.25">
      <c r="A4" s="8">
        <v>0.65649999999999997</v>
      </c>
      <c r="B4" s="8">
        <v>1.6839999999999999</v>
      </c>
      <c r="C4" s="8">
        <v>0.22600000000000001</v>
      </c>
    </row>
    <row r="5" spans="1:3" x14ac:dyDescent="0.25">
      <c r="A5" s="8">
        <v>1.3745000000000001</v>
      </c>
      <c r="B5" s="8">
        <v>1.077</v>
      </c>
      <c r="C5" s="8">
        <v>0.20050000000000001</v>
      </c>
    </row>
    <row r="6" spans="1:3" x14ac:dyDescent="0.25">
      <c r="A6" s="8">
        <v>0.62949999999999995</v>
      </c>
      <c r="B6" s="8">
        <v>1.4355</v>
      </c>
      <c r="C6" s="8">
        <v>0.51300000000000001</v>
      </c>
    </row>
    <row r="7" spans="1:3" x14ac:dyDescent="0.25">
      <c r="A7" s="8">
        <v>0.9325</v>
      </c>
      <c r="B7" s="8">
        <v>1.5660000000000001</v>
      </c>
      <c r="C7" s="8">
        <v>0.27700000000000002</v>
      </c>
    </row>
    <row r="8" spans="1:3" x14ac:dyDescent="0.25">
      <c r="A8" s="8">
        <v>2.0884999999999998</v>
      </c>
      <c r="B8" s="8">
        <v>0.97750000000000004</v>
      </c>
      <c r="C8" s="8">
        <v>0.13750000000000001</v>
      </c>
    </row>
    <row r="9" spans="1:3" x14ac:dyDescent="0.25">
      <c r="A9" s="8">
        <v>1.4275</v>
      </c>
      <c r="B9" s="8">
        <v>0.84350000000000003</v>
      </c>
      <c r="C9" s="8">
        <v>0.59099999999999997</v>
      </c>
    </row>
    <row r="10" spans="1:3" x14ac:dyDescent="0.25">
      <c r="A10" s="8">
        <v>2.14</v>
      </c>
      <c r="B10" s="8">
        <v>2.1030000000000002</v>
      </c>
      <c r="C10" s="8">
        <v>0.70450000000000002</v>
      </c>
    </row>
    <row r="11" spans="1:3" x14ac:dyDescent="0.25">
      <c r="A11" s="8">
        <v>0.77200000000000002</v>
      </c>
      <c r="B11" s="8">
        <v>0.38400000000000001</v>
      </c>
      <c r="C11" s="8">
        <v>0.32</v>
      </c>
    </row>
    <row r="12" spans="1:3" x14ac:dyDescent="0.25">
      <c r="A12" s="8">
        <v>0.17</v>
      </c>
      <c r="B12" s="8">
        <v>1.0905</v>
      </c>
      <c r="C12" s="8">
        <v>0.27100000000000002</v>
      </c>
    </row>
    <row r="13" spans="1:3" x14ac:dyDescent="0.25">
      <c r="A13" s="8">
        <v>0.52300000000000002</v>
      </c>
      <c r="B13" s="8">
        <v>0.77600000000000002</v>
      </c>
      <c r="C13" s="8">
        <v>0.80249999999999999</v>
      </c>
    </row>
    <row r="14" spans="1:3" x14ac:dyDescent="0.25">
      <c r="A14" s="8">
        <v>0.51500000000000001</v>
      </c>
      <c r="B14" s="8">
        <v>0.57550000000000001</v>
      </c>
      <c r="C14" s="8">
        <v>0.30599999999999999</v>
      </c>
    </row>
    <row r="15" spans="1:3" x14ac:dyDescent="0.25">
      <c r="A15" s="8">
        <v>1.0269999999999999</v>
      </c>
      <c r="B15" s="8">
        <v>1.7190000000000001</v>
      </c>
      <c r="C15" s="8">
        <v>0.20499999999999999</v>
      </c>
    </row>
    <row r="16" spans="1:3" x14ac:dyDescent="0.25">
      <c r="A16" s="8">
        <v>1.024</v>
      </c>
      <c r="B16" s="8">
        <v>1.0325</v>
      </c>
      <c r="C16" s="8">
        <v>0.20849999999999999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Wilcoxon</vt:lpstr>
      <vt:lpstr>Mann-Whitney</vt:lpstr>
      <vt:lpstr>Mann-Whitney (2)</vt:lpstr>
      <vt:lpstr>Wilcoxon pareado</vt:lpstr>
      <vt:lpstr>Kruskal-Wallis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Rojas</cp:lastModifiedBy>
  <dcterms:created xsi:type="dcterms:W3CDTF">2025-08-19T16:10:31Z</dcterms:created>
  <dcterms:modified xsi:type="dcterms:W3CDTF">2025-08-29T22:27:06Z</dcterms:modified>
</cp:coreProperties>
</file>