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84064CF-745D-4941-AF96-6B663FA54FF5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Investimento Inicial" sheetId="1" r:id="rId1"/>
    <sheet name="DESPESA FIXA MENSAL" sheetId="2" r:id="rId2"/>
    <sheet name="FLUXO DE CAIXA" sheetId="4" r:id="rId3"/>
    <sheet name="Base de Dados" sheetId="5" r:id="rId4"/>
    <sheet name="DRE Realista" sheetId="3" r:id="rId5"/>
    <sheet name="Ite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1" i="3" l="1"/>
  <c r="A20" i="3" s="1"/>
  <c r="A19" i="3"/>
  <c r="H20" i="3"/>
  <c r="B5" i="2"/>
  <c r="C27" i="5"/>
  <c r="C28" i="5"/>
  <c r="C29" i="5"/>
  <c r="C30" i="5" s="1"/>
  <c r="C31" i="5"/>
  <c r="C32" i="5"/>
  <c r="I20" i="3" l="1"/>
  <c r="C15" i="4"/>
  <c r="C36" i="4" s="1"/>
  <c r="C57" i="4" s="1"/>
  <c r="C78" i="4" s="1"/>
  <c r="C99" i="4" s="1"/>
  <c r="B36" i="4"/>
  <c r="C53" i="5"/>
  <c r="C54" i="5" s="1"/>
  <c r="C45" i="5"/>
  <c r="C46" i="5" s="1"/>
  <c r="C37" i="5"/>
  <c r="C38" i="5" s="1"/>
  <c r="C18" i="4"/>
  <c r="D17" i="4"/>
  <c r="E17" i="4"/>
  <c r="F17" i="4"/>
  <c r="G17" i="4"/>
  <c r="H17" i="4"/>
  <c r="I17" i="4"/>
  <c r="J17" i="4"/>
  <c r="K17" i="4"/>
  <c r="L17" i="4"/>
  <c r="M17" i="4"/>
  <c r="N17" i="4"/>
  <c r="B39" i="2"/>
  <c r="B61" i="2" s="1"/>
  <c r="C39" i="2"/>
  <c r="D39" i="2"/>
  <c r="C17" i="4"/>
  <c r="C61" i="2" l="1"/>
  <c r="B83" i="2"/>
  <c r="E39" i="2"/>
  <c r="C5" i="4"/>
  <c r="B28" i="2"/>
  <c r="C28" i="2" s="1"/>
  <c r="D28" i="2" s="1"/>
  <c r="E28" i="2" s="1"/>
  <c r="F28" i="2" s="1"/>
  <c r="N108" i="2"/>
  <c r="N107" i="2"/>
  <c r="N106" i="2"/>
  <c r="R94" i="2"/>
  <c r="N86" i="2"/>
  <c r="N85" i="2"/>
  <c r="N84" i="2"/>
  <c r="R72" i="2"/>
  <c r="N64" i="2"/>
  <c r="N63" i="2"/>
  <c r="N62" i="2"/>
  <c r="R50" i="2"/>
  <c r="N42" i="2"/>
  <c r="N41" i="2"/>
  <c r="N40" i="2"/>
  <c r="B33" i="2"/>
  <c r="R28" i="2"/>
  <c r="B25" i="2"/>
  <c r="C38" i="4" s="1" a="1"/>
  <c r="C38" i="4" s="1"/>
  <c r="B21" i="2"/>
  <c r="N17" i="2"/>
  <c r="N16" i="2"/>
  <c r="N15" i="2"/>
  <c r="N14" i="2"/>
  <c r="C13" i="2"/>
  <c r="D13" i="2"/>
  <c r="N12" i="2"/>
  <c r="C11" i="2"/>
  <c r="N10" i="2"/>
  <c r="N9" i="2"/>
  <c r="C8" i="2"/>
  <c r="N7" i="2"/>
  <c r="C6" i="2"/>
  <c r="D6" i="2"/>
  <c r="E15" i="4" s="1"/>
  <c r="E36" i="4" s="1"/>
  <c r="E57" i="4" s="1"/>
  <c r="E78" i="4" s="1"/>
  <c r="E99" i="4" s="1"/>
  <c r="N5" i="2"/>
  <c r="N4" i="2"/>
  <c r="B36" i="2"/>
  <c r="B26" i="2"/>
  <c r="C26" i="2" s="1"/>
  <c r="D26" i="2" s="1"/>
  <c r="E26" i="2" s="1"/>
  <c r="F26" i="2" s="1"/>
  <c r="G26" i="2" s="1"/>
  <c r="H26" i="2" s="1"/>
  <c r="I26" i="2" s="1"/>
  <c r="J26" i="2" s="1"/>
  <c r="K26" i="2" s="1"/>
  <c r="L26" i="2" s="1"/>
  <c r="M26" i="2" s="1"/>
  <c r="B48" i="2" s="1"/>
  <c r="B35" i="2"/>
  <c r="B8" i="1"/>
  <c r="D8" i="6"/>
  <c r="B5" i="1" s="1"/>
  <c r="D7" i="6"/>
  <c r="A15" i="6" s="1"/>
  <c r="D6" i="6"/>
  <c r="D5" i="6"/>
  <c r="D4" i="6"/>
  <c r="D3" i="6"/>
  <c r="D2" i="6"/>
  <c r="H8" i="5"/>
  <c r="B15" i="4"/>
  <c r="D6" i="4"/>
  <c r="D15" i="4"/>
  <c r="D36" i="4" s="1"/>
  <c r="D57" i="4" s="1"/>
  <c r="D78" i="4" s="1"/>
  <c r="D99" i="4" s="1"/>
  <c r="C16" i="4"/>
  <c r="C19" i="4" s="1"/>
  <c r="D13" i="4"/>
  <c r="C6" i="4"/>
  <c r="D24" i="5"/>
  <c r="E13" i="4" s="1"/>
  <c r="E24" i="5"/>
  <c r="F24" i="5" s="1"/>
  <c r="G24" i="5" s="1"/>
  <c r="H24" i="5" s="1"/>
  <c r="I24" i="5" s="1"/>
  <c r="J24" i="5" s="1"/>
  <c r="K24" i="5" s="1"/>
  <c r="L24" i="5" s="1"/>
  <c r="M24" i="5" s="1"/>
  <c r="N24" i="5" s="1"/>
  <c r="D32" i="5" s="1"/>
  <c r="E32" i="5" s="1"/>
  <c r="F32" i="5" s="1"/>
  <c r="G32" i="5" s="1"/>
  <c r="H32" i="5" s="1"/>
  <c r="I32" i="5" s="1"/>
  <c r="J32" i="5" s="1"/>
  <c r="K32" i="5" s="1"/>
  <c r="L32" i="5" s="1"/>
  <c r="M32" i="5" s="1"/>
  <c r="N32" i="5" s="1"/>
  <c r="C40" i="5" s="1"/>
  <c r="D40" i="5" s="1"/>
  <c r="E40" i="5" s="1"/>
  <c r="F40" i="5" s="1"/>
  <c r="G40" i="5" s="1"/>
  <c r="H40" i="5" s="1"/>
  <c r="I40" i="5" s="1"/>
  <c r="J40" i="5" s="1"/>
  <c r="K40" i="5" s="1"/>
  <c r="L40" i="5" s="1"/>
  <c r="M40" i="5" s="1"/>
  <c r="N40" i="5" s="1"/>
  <c r="C48" i="5" s="1"/>
  <c r="D48" i="5" s="1"/>
  <c r="E48" i="5" s="1"/>
  <c r="F48" i="5" s="1"/>
  <c r="G48" i="5" s="1"/>
  <c r="H48" i="5" s="1"/>
  <c r="I48" i="5" s="1"/>
  <c r="J48" i="5" s="1"/>
  <c r="K48" i="5" s="1"/>
  <c r="L48" i="5" s="1"/>
  <c r="M48" i="5" s="1"/>
  <c r="N48" i="5" s="1"/>
  <c r="C56" i="5" s="1"/>
  <c r="D56" i="5" s="1"/>
  <c r="E56" i="5" s="1"/>
  <c r="F56" i="5" s="1"/>
  <c r="G56" i="5" s="1"/>
  <c r="H56" i="5" s="1"/>
  <c r="I56" i="5" s="1"/>
  <c r="J56" i="5" s="1"/>
  <c r="K56" i="5" s="1"/>
  <c r="L56" i="5" s="1"/>
  <c r="M56" i="5" s="1"/>
  <c r="N56" i="5" s="1"/>
  <c r="D23" i="5"/>
  <c r="E23" i="5" s="1"/>
  <c r="F23" i="5" s="1"/>
  <c r="G23" i="5" s="1"/>
  <c r="H23" i="5" s="1"/>
  <c r="I23" i="5" s="1"/>
  <c r="J23" i="5" s="1"/>
  <c r="K23" i="5" s="1"/>
  <c r="L23" i="5" s="1"/>
  <c r="M23" i="5" s="1"/>
  <c r="N23" i="5" s="1"/>
  <c r="D31" i="5" s="1"/>
  <c r="E31" i="5" s="1"/>
  <c r="F31" i="5" s="1"/>
  <c r="G31" i="5" s="1"/>
  <c r="H31" i="5" s="1"/>
  <c r="I31" i="5" s="1"/>
  <c r="J31" i="5" s="1"/>
  <c r="K31" i="5" s="1"/>
  <c r="L31" i="5" s="1"/>
  <c r="M31" i="5" s="1"/>
  <c r="N31" i="5" s="1"/>
  <c r="C39" i="5" s="1"/>
  <c r="D39" i="5" s="1"/>
  <c r="E39" i="5" s="1"/>
  <c r="F39" i="5" s="1"/>
  <c r="G39" i="5" s="1"/>
  <c r="H39" i="5" s="1"/>
  <c r="I39" i="5" s="1"/>
  <c r="J39" i="5" s="1"/>
  <c r="K39" i="5" s="1"/>
  <c r="L39" i="5" s="1"/>
  <c r="M39" i="5" s="1"/>
  <c r="N39" i="5" s="1"/>
  <c r="C47" i="5" s="1"/>
  <c r="D47" i="5" s="1"/>
  <c r="E47" i="5" s="1"/>
  <c r="F47" i="5" s="1"/>
  <c r="G47" i="5" s="1"/>
  <c r="H47" i="5" s="1"/>
  <c r="I47" i="5" s="1"/>
  <c r="J47" i="5" s="1"/>
  <c r="K47" i="5" s="1"/>
  <c r="L47" i="5" s="1"/>
  <c r="M47" i="5" s="1"/>
  <c r="N47" i="5" s="1"/>
  <c r="C55" i="5" s="1"/>
  <c r="D55" i="5" s="1"/>
  <c r="E55" i="5" s="1"/>
  <c r="F55" i="5" s="1"/>
  <c r="G55" i="5" s="1"/>
  <c r="H55" i="5" s="1"/>
  <c r="I55" i="5" s="1"/>
  <c r="J55" i="5" s="1"/>
  <c r="K55" i="5" s="1"/>
  <c r="L55" i="5" s="1"/>
  <c r="M55" i="5" s="1"/>
  <c r="N55" i="5" s="1"/>
  <c r="D22" i="5"/>
  <c r="E22" i="5" s="1"/>
  <c r="F22" i="5" s="1"/>
  <c r="G22" i="5" s="1"/>
  <c r="H22" i="5" s="1"/>
  <c r="I22" i="5" s="1"/>
  <c r="J22" i="5" s="1"/>
  <c r="K22" i="5" s="1"/>
  <c r="L22" i="5" s="1"/>
  <c r="M22" i="5" s="1"/>
  <c r="N22" i="5" s="1"/>
  <c r="D30" i="5"/>
  <c r="E30" i="5" s="1"/>
  <c r="F30" i="5" s="1"/>
  <c r="G30" i="5" s="1"/>
  <c r="H30" i="5" s="1"/>
  <c r="I30" i="5" s="1"/>
  <c r="J30" i="5" s="1"/>
  <c r="K30" i="5" s="1"/>
  <c r="L30" i="5" s="1"/>
  <c r="M30" i="5" s="1"/>
  <c r="N30" i="5" s="1"/>
  <c r="D21" i="5"/>
  <c r="E6" i="4" s="1"/>
  <c r="H7" i="5"/>
  <c r="F20" i="5"/>
  <c r="G20" i="5"/>
  <c r="H20" i="5" s="1"/>
  <c r="I20" i="5" s="1"/>
  <c r="J20" i="5" s="1"/>
  <c r="K20" i="5" s="1"/>
  <c r="L20" i="5" s="1"/>
  <c r="M20" i="5" s="1"/>
  <c r="N20" i="5" s="1"/>
  <c r="D28" i="5" s="1"/>
  <c r="E28" i="5" s="1"/>
  <c r="E19" i="5"/>
  <c r="O96" i="4"/>
  <c r="O94" i="4"/>
  <c r="O93" i="4"/>
  <c r="O92" i="4"/>
  <c r="O91" i="4"/>
  <c r="O90" i="4"/>
  <c r="O75" i="4"/>
  <c r="O73" i="4"/>
  <c r="O72" i="4"/>
  <c r="O71" i="4"/>
  <c r="O70" i="4"/>
  <c r="O69" i="4"/>
  <c r="O54" i="4"/>
  <c r="O52" i="4"/>
  <c r="O51" i="4"/>
  <c r="O50" i="4"/>
  <c r="O49" i="4"/>
  <c r="O48" i="4"/>
  <c r="O33" i="4"/>
  <c r="O31" i="4"/>
  <c r="O30" i="4"/>
  <c r="O29" i="4"/>
  <c r="O28" i="4"/>
  <c r="D29" i="5"/>
  <c r="E29" i="5" s="1"/>
  <c r="F29" i="5" s="1"/>
  <c r="G29" i="5" s="1"/>
  <c r="H29" i="5" s="1"/>
  <c r="I29" i="5" s="1"/>
  <c r="J29" i="5" s="1"/>
  <c r="K29" i="5" s="1"/>
  <c r="L29" i="5" s="1"/>
  <c r="M29" i="5" s="1"/>
  <c r="N29" i="5" s="1"/>
  <c r="D37" i="5" s="1"/>
  <c r="E37" i="5" s="1"/>
  <c r="F37" i="5" s="1"/>
  <c r="G37" i="5" s="1"/>
  <c r="H37" i="5" s="1"/>
  <c r="I37" i="5" s="1"/>
  <c r="J37" i="5" s="1"/>
  <c r="K37" i="5" s="1"/>
  <c r="L37" i="5" s="1"/>
  <c r="M37" i="5" s="1"/>
  <c r="N37" i="5" s="1"/>
  <c r="D45" i="5" s="1"/>
  <c r="E45" i="5" s="1"/>
  <c r="F45" i="5" s="1"/>
  <c r="G45" i="5" s="1"/>
  <c r="H45" i="5" s="1"/>
  <c r="I45" i="5" s="1"/>
  <c r="J45" i="5" s="1"/>
  <c r="K45" i="5" s="1"/>
  <c r="L45" i="5" s="1"/>
  <c r="M45" i="5" s="1"/>
  <c r="N45" i="5" s="1"/>
  <c r="O12" i="4"/>
  <c r="O10" i="4"/>
  <c r="O9" i="4"/>
  <c r="O8" i="4"/>
  <c r="O7" i="4"/>
  <c r="O17" i="4"/>
  <c r="C83" i="2" l="1"/>
  <c r="B105" i="2"/>
  <c r="D5" i="4"/>
  <c r="H9" i="5"/>
  <c r="C11" i="4"/>
  <c r="C20" i="4" s="1"/>
  <c r="D18" i="4"/>
  <c r="F39" i="2"/>
  <c r="D61" i="2"/>
  <c r="B7" i="1"/>
  <c r="D11" i="2"/>
  <c r="C25" i="2"/>
  <c r="D38" i="4" s="1" a="1"/>
  <c r="D38" i="4" s="1"/>
  <c r="D11" i="4"/>
  <c r="E14" i="4"/>
  <c r="D38" i="5"/>
  <c r="E38" i="5" s="1"/>
  <c r="F38" i="5" s="1"/>
  <c r="G38" i="5" s="1"/>
  <c r="H38" i="5" s="1"/>
  <c r="I38" i="5" s="1"/>
  <c r="J38" i="5" s="1"/>
  <c r="K38" i="5" s="1"/>
  <c r="L38" i="5" s="1"/>
  <c r="M38" i="5" s="1"/>
  <c r="N38" i="5" s="1"/>
  <c r="E21" i="5"/>
  <c r="F21" i="5" s="1"/>
  <c r="G21" i="5" s="1"/>
  <c r="H21" i="5" s="1"/>
  <c r="I21" i="5" s="1"/>
  <c r="J21" i="5" s="1"/>
  <c r="K21" i="5" s="1"/>
  <c r="L21" i="5" s="1"/>
  <c r="M21" i="5" s="1"/>
  <c r="N21" i="5" s="1"/>
  <c r="D53" i="5"/>
  <c r="F28" i="5"/>
  <c r="G28" i="5" s="1"/>
  <c r="H28" i="5" s="1"/>
  <c r="I28" i="5" s="1"/>
  <c r="J28" i="5" s="1"/>
  <c r="K28" i="5" s="1"/>
  <c r="L28" i="5" s="1"/>
  <c r="M28" i="5" s="1"/>
  <c r="N28" i="5" s="1"/>
  <c r="C36" i="5" s="1"/>
  <c r="D36" i="5" s="1"/>
  <c r="F19" i="5"/>
  <c r="C48" i="2"/>
  <c r="D48" i="2" s="1"/>
  <c r="E48" i="2" s="1"/>
  <c r="F48" i="2" s="1"/>
  <c r="G48" i="2" s="1"/>
  <c r="H48" i="2" s="1"/>
  <c r="I48" i="2" s="1"/>
  <c r="J48" i="2" s="1"/>
  <c r="K48" i="2" s="1"/>
  <c r="L48" i="2" s="1"/>
  <c r="M48" i="2" s="1"/>
  <c r="B70" i="2" s="1"/>
  <c r="D8" i="2"/>
  <c r="C21" i="2"/>
  <c r="D16" i="4"/>
  <c r="D25" i="2"/>
  <c r="E38" i="4" s="1" a="1"/>
  <c r="E38" i="4" s="1"/>
  <c r="F13" i="4"/>
  <c r="E5" i="4"/>
  <c r="F14" i="4" s="1"/>
  <c r="N26" i="2"/>
  <c r="O20" i="5"/>
  <c r="A14" i="6"/>
  <c r="B6" i="1" s="1"/>
  <c r="B15" i="1" s="1"/>
  <c r="D9" i="6"/>
  <c r="G28" i="2"/>
  <c r="E6" i="2"/>
  <c r="D21" i="2"/>
  <c r="E13" i="2"/>
  <c r="C36" i="2"/>
  <c r="D36" i="2" s="1"/>
  <c r="E36" i="2" s="1"/>
  <c r="F36" i="2" s="1"/>
  <c r="G36" i="2" s="1"/>
  <c r="H36" i="2" s="1"/>
  <c r="I36" i="2" s="1"/>
  <c r="J36" i="2" s="1"/>
  <c r="K36" i="2" s="1"/>
  <c r="L36" i="2" s="1"/>
  <c r="M36" i="2" s="1"/>
  <c r="B58" i="2" s="1"/>
  <c r="N36" i="2"/>
  <c r="C33" i="2"/>
  <c r="C35" i="2"/>
  <c r="D35" i="2" s="1"/>
  <c r="E35" i="2" s="1"/>
  <c r="F35" i="2" s="1"/>
  <c r="G35" i="2" s="1"/>
  <c r="H35" i="2" s="1"/>
  <c r="I35" i="2" s="1"/>
  <c r="J35" i="2" s="1"/>
  <c r="K35" i="2" s="1"/>
  <c r="L35" i="2" s="1"/>
  <c r="M35" i="2" s="1"/>
  <c r="B57" i="2" s="1"/>
  <c r="B31" i="2"/>
  <c r="B38" i="2"/>
  <c r="B30" i="2"/>
  <c r="B37" i="2"/>
  <c r="C105" i="2" l="1"/>
  <c r="E61" i="2"/>
  <c r="E11" i="2"/>
  <c r="E18" i="4"/>
  <c r="D83" i="2"/>
  <c r="G39" i="2"/>
  <c r="F6" i="4"/>
  <c r="E53" i="5"/>
  <c r="F53" i="5" s="1"/>
  <c r="G53" i="5" s="1"/>
  <c r="H53" i="5" s="1"/>
  <c r="I53" i="5" s="1"/>
  <c r="J53" i="5" s="1"/>
  <c r="K53" i="5" s="1"/>
  <c r="L53" i="5" s="1"/>
  <c r="M53" i="5" s="1"/>
  <c r="N53" i="5" s="1"/>
  <c r="C30" i="2"/>
  <c r="C38" i="2"/>
  <c r="D38" i="2" s="1"/>
  <c r="E38" i="2" s="1"/>
  <c r="F38" i="2" s="1"/>
  <c r="G38" i="2" s="1"/>
  <c r="H38" i="2" s="1"/>
  <c r="I38" i="2" s="1"/>
  <c r="J38" i="2" s="1"/>
  <c r="K38" i="2" s="1"/>
  <c r="L38" i="2" s="1"/>
  <c r="M38" i="2" s="1"/>
  <c r="B60" i="2" s="1"/>
  <c r="D33" i="2"/>
  <c r="N58" i="2"/>
  <c r="C58" i="2"/>
  <c r="D58" i="2" s="1"/>
  <c r="E58" i="2" s="1"/>
  <c r="F58" i="2" s="1"/>
  <c r="G58" i="2" s="1"/>
  <c r="H58" i="2" s="1"/>
  <c r="I58" i="2" s="1"/>
  <c r="J58" i="2" s="1"/>
  <c r="K58" i="2" s="1"/>
  <c r="L58" i="2" s="1"/>
  <c r="M58" i="2" s="1"/>
  <c r="B80" i="2" s="1"/>
  <c r="F13" i="2"/>
  <c r="E25" i="2"/>
  <c r="F38" i="4" s="1" a="1"/>
  <c r="F38" i="4" s="1"/>
  <c r="E8" i="2"/>
  <c r="E16" i="4"/>
  <c r="E19" i="4" s="1"/>
  <c r="N48" i="2"/>
  <c r="O28" i="5"/>
  <c r="C57" i="2"/>
  <c r="D57" i="2" s="1"/>
  <c r="E57" i="2" s="1"/>
  <c r="F57" i="2" s="1"/>
  <c r="G57" i="2" s="1"/>
  <c r="H57" i="2" s="1"/>
  <c r="I57" i="2" s="1"/>
  <c r="J57" i="2" s="1"/>
  <c r="K57" i="2" s="1"/>
  <c r="L57" i="2" s="1"/>
  <c r="M57" i="2" s="1"/>
  <c r="B79" i="2" s="1"/>
  <c r="D19" i="4"/>
  <c r="C70" i="2"/>
  <c r="D70" i="2" s="1"/>
  <c r="E70" i="2" s="1"/>
  <c r="F70" i="2" s="1"/>
  <c r="G70" i="2" s="1"/>
  <c r="H70" i="2" s="1"/>
  <c r="I70" i="2" s="1"/>
  <c r="J70" i="2" s="1"/>
  <c r="K70" i="2" s="1"/>
  <c r="L70" i="2" s="1"/>
  <c r="M70" i="2" s="1"/>
  <c r="B92" i="2" s="1"/>
  <c r="N70" i="2"/>
  <c r="E36" i="5"/>
  <c r="F36" i="5" s="1"/>
  <c r="G36" i="5" s="1"/>
  <c r="H36" i="5" s="1"/>
  <c r="I36" i="5" s="1"/>
  <c r="J36" i="5" s="1"/>
  <c r="K36" i="5" s="1"/>
  <c r="L36" i="5" s="1"/>
  <c r="M36" i="5" s="1"/>
  <c r="N36" i="5" s="1"/>
  <c r="C44" i="5" s="1"/>
  <c r="D44" i="5" s="1"/>
  <c r="C31" i="2"/>
  <c r="D31" i="2" s="1"/>
  <c r="E31" i="2" s="1"/>
  <c r="F31" i="2" s="1"/>
  <c r="G31" i="2" s="1"/>
  <c r="H31" i="2" s="1"/>
  <c r="I31" i="2" s="1"/>
  <c r="J31" i="2" s="1"/>
  <c r="K31" i="2" s="1"/>
  <c r="L31" i="2" s="1"/>
  <c r="M31" i="2" s="1"/>
  <c r="B53" i="2" s="1"/>
  <c r="E11" i="4"/>
  <c r="C37" i="2"/>
  <c r="D37" i="2" s="1"/>
  <c r="E37" i="2" s="1"/>
  <c r="F37" i="2" s="1"/>
  <c r="G37" i="2" s="1"/>
  <c r="H37" i="2" s="1"/>
  <c r="I37" i="2" s="1"/>
  <c r="J37" i="2" s="1"/>
  <c r="K37" i="2" s="1"/>
  <c r="L37" i="2" s="1"/>
  <c r="M37" i="2" s="1"/>
  <c r="B59" i="2" s="1"/>
  <c r="N35" i="2"/>
  <c r="E21" i="2"/>
  <c r="F15" i="4"/>
  <c r="F36" i="4" s="1"/>
  <c r="F57" i="4" s="1"/>
  <c r="F78" i="4" s="1"/>
  <c r="F99" i="4" s="1"/>
  <c r="F6" i="2"/>
  <c r="H28" i="2"/>
  <c r="G13" i="4"/>
  <c r="F5" i="4"/>
  <c r="G19" i="5"/>
  <c r="G6" i="4"/>
  <c r="F11" i="2" l="1"/>
  <c r="F18" i="4"/>
  <c r="E83" i="2"/>
  <c r="D105" i="2"/>
  <c r="H39" i="2"/>
  <c r="F61" i="2"/>
  <c r="F11" i="4"/>
  <c r="G14" i="4"/>
  <c r="D46" i="5"/>
  <c r="E46" i="5" s="1"/>
  <c r="F46" i="5" s="1"/>
  <c r="G46" i="5" s="1"/>
  <c r="H46" i="5" s="1"/>
  <c r="I46" i="5" s="1"/>
  <c r="J46" i="5" s="1"/>
  <c r="K46" i="5" s="1"/>
  <c r="L46" i="5" s="1"/>
  <c r="M46" i="5" s="1"/>
  <c r="N46" i="5" s="1"/>
  <c r="D54" i="5" s="1"/>
  <c r="E54" i="5" s="1"/>
  <c r="F54" i="5" s="1"/>
  <c r="G54" i="5" s="1"/>
  <c r="H54" i="5" s="1"/>
  <c r="I54" i="5" s="1"/>
  <c r="J54" i="5" s="1"/>
  <c r="K54" i="5" s="1"/>
  <c r="L54" i="5" s="1"/>
  <c r="M54" i="5" s="1"/>
  <c r="N54" i="5" s="1"/>
  <c r="E44" i="5"/>
  <c r="F44" i="5" s="1"/>
  <c r="G44" i="5" s="1"/>
  <c r="H44" i="5" s="1"/>
  <c r="I44" i="5" s="1"/>
  <c r="J44" i="5" s="1"/>
  <c r="K44" i="5" s="1"/>
  <c r="L44" i="5" s="1"/>
  <c r="M44" i="5" s="1"/>
  <c r="N44" i="5" s="1"/>
  <c r="C52" i="5" s="1"/>
  <c r="D52" i="5" s="1"/>
  <c r="F25" i="2"/>
  <c r="G38" i="4" s="1" a="1"/>
  <c r="G38" i="4" s="1"/>
  <c r="G5" i="4"/>
  <c r="H19" i="5"/>
  <c r="H6" i="4"/>
  <c r="H13" i="4"/>
  <c r="I28" i="2"/>
  <c r="E20" i="4"/>
  <c r="C79" i="2"/>
  <c r="D79" i="2" s="1"/>
  <c r="E79" i="2" s="1"/>
  <c r="F79" i="2" s="1"/>
  <c r="G79" i="2" s="1"/>
  <c r="H79" i="2" s="1"/>
  <c r="I79" i="2" s="1"/>
  <c r="J79" i="2" s="1"/>
  <c r="K79" i="2" s="1"/>
  <c r="L79" i="2" s="1"/>
  <c r="M79" i="2" s="1"/>
  <c r="B101" i="2" s="1"/>
  <c r="C59" i="2"/>
  <c r="D59" i="2" s="1"/>
  <c r="E59" i="2" s="1"/>
  <c r="F59" i="2" s="1"/>
  <c r="G59" i="2" s="1"/>
  <c r="H59" i="2" s="1"/>
  <c r="I59" i="2" s="1"/>
  <c r="J59" i="2" s="1"/>
  <c r="K59" i="2" s="1"/>
  <c r="L59" i="2" s="1"/>
  <c r="M59" i="2" s="1"/>
  <c r="B81" i="2" s="1"/>
  <c r="C60" i="2"/>
  <c r="F21" i="2"/>
  <c r="G6" i="2"/>
  <c r="G15" i="4"/>
  <c r="G36" i="4" s="1"/>
  <c r="G57" i="4" s="1"/>
  <c r="G78" i="4" s="1"/>
  <c r="G99" i="4" s="1"/>
  <c r="C92" i="2"/>
  <c r="D92" i="2" s="1"/>
  <c r="E92" i="2" s="1"/>
  <c r="F92" i="2" s="1"/>
  <c r="G92" i="2" s="1"/>
  <c r="H92" i="2" s="1"/>
  <c r="I92" i="2" s="1"/>
  <c r="J92" i="2" s="1"/>
  <c r="N57" i="2"/>
  <c r="F8" i="2"/>
  <c r="F16" i="4"/>
  <c r="G13" i="2"/>
  <c r="E33" i="2"/>
  <c r="D30" i="2"/>
  <c r="D37" i="4"/>
  <c r="C53" i="2"/>
  <c r="D53" i="2" s="1"/>
  <c r="E53" i="2" s="1"/>
  <c r="F53" i="2" s="1"/>
  <c r="G53" i="2" s="1"/>
  <c r="H53" i="2" s="1"/>
  <c r="I53" i="2" s="1"/>
  <c r="J53" i="2" s="1"/>
  <c r="K53" i="2" s="1"/>
  <c r="L53" i="2" s="1"/>
  <c r="M53" i="2" s="1"/>
  <c r="B75" i="2" s="1"/>
  <c r="N37" i="2"/>
  <c r="N31" i="2"/>
  <c r="O36" i="5"/>
  <c r="D20" i="4"/>
  <c r="C80" i="2"/>
  <c r="D80" i="2" s="1"/>
  <c r="E80" i="2" s="1"/>
  <c r="F80" i="2" s="1"/>
  <c r="G80" i="2" s="1"/>
  <c r="H80" i="2" s="1"/>
  <c r="I80" i="2" s="1"/>
  <c r="J80" i="2" s="1"/>
  <c r="K80" i="2" s="1"/>
  <c r="L80" i="2" s="1"/>
  <c r="M80" i="2" s="1"/>
  <c r="B102" i="2" s="1"/>
  <c r="N38" i="2"/>
  <c r="N92" i="2" l="1"/>
  <c r="I39" i="2"/>
  <c r="F83" i="2"/>
  <c r="G61" i="2"/>
  <c r="E105" i="2"/>
  <c r="G18" i="4"/>
  <c r="G11" i="2"/>
  <c r="D60" i="2"/>
  <c r="G11" i="4"/>
  <c r="H14" i="4"/>
  <c r="C102" i="2"/>
  <c r="D102" i="2" s="1"/>
  <c r="E102" i="2" s="1"/>
  <c r="F102" i="2" s="1"/>
  <c r="G102" i="2" s="1"/>
  <c r="H102" i="2" s="1"/>
  <c r="I102" i="2" s="1"/>
  <c r="J102" i="2" s="1"/>
  <c r="F33" i="2"/>
  <c r="C81" i="2"/>
  <c r="D81" i="2" s="1"/>
  <c r="E81" i="2" s="1"/>
  <c r="F81" i="2" s="1"/>
  <c r="G81" i="2" s="1"/>
  <c r="H81" i="2" s="1"/>
  <c r="I81" i="2" s="1"/>
  <c r="J81" i="2" s="1"/>
  <c r="K81" i="2" s="1"/>
  <c r="L81" i="2" s="1"/>
  <c r="M81" i="2" s="1"/>
  <c r="B103" i="2" s="1"/>
  <c r="N81" i="2"/>
  <c r="C101" i="2"/>
  <c r="D101" i="2" s="1"/>
  <c r="E101" i="2" s="1"/>
  <c r="F101" i="2" s="1"/>
  <c r="G101" i="2" s="1"/>
  <c r="H101" i="2" s="1"/>
  <c r="I101" i="2" s="1"/>
  <c r="J101" i="2" s="1"/>
  <c r="I6" i="4"/>
  <c r="I13" i="4"/>
  <c r="I19" i="5"/>
  <c r="H5" i="4"/>
  <c r="I14" i="4" s="1"/>
  <c r="G25" i="2"/>
  <c r="H38" i="4" s="1" a="1"/>
  <c r="H38" i="4" s="1"/>
  <c r="C75" i="2"/>
  <c r="D75" i="2" s="1"/>
  <c r="E75" i="2" s="1"/>
  <c r="F75" i="2" s="1"/>
  <c r="G75" i="2" s="1"/>
  <c r="H75" i="2" s="1"/>
  <c r="I75" i="2" s="1"/>
  <c r="J75" i="2" s="1"/>
  <c r="K75" i="2" s="1"/>
  <c r="L75" i="2" s="1"/>
  <c r="M75" i="2" s="1"/>
  <c r="B97" i="2" s="1"/>
  <c r="E30" i="2"/>
  <c r="E37" i="4"/>
  <c r="F19" i="4"/>
  <c r="J28" i="2"/>
  <c r="E52" i="5"/>
  <c r="F52" i="5" s="1"/>
  <c r="G52" i="5" s="1"/>
  <c r="H52" i="5" s="1"/>
  <c r="I52" i="5" s="1"/>
  <c r="J52" i="5" s="1"/>
  <c r="K52" i="5" s="1"/>
  <c r="L52" i="5" s="1"/>
  <c r="M52" i="5" s="1"/>
  <c r="N52" i="5" s="1"/>
  <c r="N80" i="2"/>
  <c r="N53" i="2"/>
  <c r="G8" i="2"/>
  <c r="G16" i="4"/>
  <c r="G19" i="4" s="1"/>
  <c r="G20" i="4" s="1"/>
  <c r="O44" i="5"/>
  <c r="H13" i="2"/>
  <c r="H6" i="2"/>
  <c r="H15" i="4"/>
  <c r="H36" i="4" s="1"/>
  <c r="H57" i="4" s="1"/>
  <c r="H78" i="4" s="1"/>
  <c r="H99" i="4" s="1"/>
  <c r="N59" i="2"/>
  <c r="N79" i="2"/>
  <c r="E60" i="2" l="1"/>
  <c r="H61" i="2"/>
  <c r="N75" i="2"/>
  <c r="H11" i="2"/>
  <c r="H18" i="4"/>
  <c r="F105" i="2"/>
  <c r="G83" i="2"/>
  <c r="J39" i="2"/>
  <c r="G33" i="2"/>
  <c r="H16" i="4"/>
  <c r="H8" i="2"/>
  <c r="I13" i="2"/>
  <c r="F20" i="4"/>
  <c r="C103" i="2"/>
  <c r="D103" i="2" s="1"/>
  <c r="E103" i="2" s="1"/>
  <c r="F103" i="2" s="1"/>
  <c r="G103" i="2" s="1"/>
  <c r="H103" i="2" s="1"/>
  <c r="I103" i="2" s="1"/>
  <c r="J103" i="2" s="1"/>
  <c r="N103" i="2"/>
  <c r="H21" i="2"/>
  <c r="I6" i="2"/>
  <c r="I15" i="4"/>
  <c r="I36" i="4" s="1"/>
  <c r="I57" i="4" s="1"/>
  <c r="I78" i="4" s="1"/>
  <c r="I99" i="4" s="1"/>
  <c r="H19" i="4"/>
  <c r="C97" i="2"/>
  <c r="D97" i="2" s="1"/>
  <c r="E97" i="2" s="1"/>
  <c r="F97" i="2" s="1"/>
  <c r="G97" i="2" s="1"/>
  <c r="H97" i="2" s="1"/>
  <c r="I97" i="2" s="1"/>
  <c r="J97" i="2" s="1"/>
  <c r="H11" i="4"/>
  <c r="N102" i="2"/>
  <c r="K28" i="2"/>
  <c r="F30" i="2"/>
  <c r="F37" i="4"/>
  <c r="H25" i="2"/>
  <c r="I38" i="4" s="1" a="1"/>
  <c r="I38" i="4" s="1"/>
  <c r="G21" i="2"/>
  <c r="O52" i="5"/>
  <c r="J6" i="4"/>
  <c r="J13" i="4"/>
  <c r="I5" i="4"/>
  <c r="J19" i="5"/>
  <c r="N101" i="2"/>
  <c r="I11" i="2" l="1"/>
  <c r="I18" i="4"/>
  <c r="F60" i="2"/>
  <c r="G105" i="2"/>
  <c r="N97" i="2"/>
  <c r="K39" i="2"/>
  <c r="H83" i="2"/>
  <c r="I61" i="2"/>
  <c r="I11" i="4"/>
  <c r="J14" i="4"/>
  <c r="I25" i="2"/>
  <c r="J38" i="4" s="1" a="1"/>
  <c r="J38" i="4" s="1"/>
  <c r="H20" i="4"/>
  <c r="I8" i="2"/>
  <c r="I21" i="2" s="1"/>
  <c r="I16" i="4"/>
  <c r="I19" i="4" s="1"/>
  <c r="I20" i="4" s="1"/>
  <c r="K13" i="4"/>
  <c r="J5" i="4"/>
  <c r="K6" i="4"/>
  <c r="K19" i="5"/>
  <c r="J13" i="2"/>
  <c r="L28" i="2"/>
  <c r="H33" i="2"/>
  <c r="G30" i="2"/>
  <c r="G37" i="4"/>
  <c r="J6" i="2"/>
  <c r="J15" i="4"/>
  <c r="J36" i="4" s="1"/>
  <c r="J57" i="4" s="1"/>
  <c r="J78" i="4" s="1"/>
  <c r="J99" i="4" s="1"/>
  <c r="J61" i="2" l="1"/>
  <c r="L39" i="2"/>
  <c r="I83" i="2"/>
  <c r="H105" i="2"/>
  <c r="G60" i="2"/>
  <c r="J11" i="2"/>
  <c r="J18" i="4"/>
  <c r="J11" i="4"/>
  <c r="K14" i="4"/>
  <c r="I33" i="2"/>
  <c r="L19" i="5"/>
  <c r="K5" i="4"/>
  <c r="L6" i="4"/>
  <c r="L13" i="4"/>
  <c r="M28" i="2"/>
  <c r="K13" i="2"/>
  <c r="J8" i="2"/>
  <c r="J16" i="4"/>
  <c r="J19" i="4" s="1"/>
  <c r="J20" i="4" s="1"/>
  <c r="K6" i="2"/>
  <c r="K15" i="4"/>
  <c r="K36" i="4" s="1"/>
  <c r="K57" i="4" s="1"/>
  <c r="K78" i="4" s="1"/>
  <c r="K99" i="4" s="1"/>
  <c r="H30" i="2"/>
  <c r="H37" i="4"/>
  <c r="J25" i="2"/>
  <c r="K38" i="4" s="1" a="1"/>
  <c r="K38" i="4" s="1"/>
  <c r="J83" i="2" l="1"/>
  <c r="K11" i="2"/>
  <c r="K18" i="4"/>
  <c r="H60" i="2"/>
  <c r="I105" i="2"/>
  <c r="K61" i="2"/>
  <c r="M39" i="2"/>
  <c r="K11" i="4"/>
  <c r="L14" i="4"/>
  <c r="L6" i="2"/>
  <c r="L15" i="4"/>
  <c r="L36" i="4" s="1"/>
  <c r="L57" i="4" s="1"/>
  <c r="L78" i="4" s="1"/>
  <c r="L99" i="4" s="1"/>
  <c r="K8" i="2"/>
  <c r="K16" i="4"/>
  <c r="K19" i="4" s="1"/>
  <c r="K20" i="4" s="1"/>
  <c r="B50" i="2"/>
  <c r="N28" i="2"/>
  <c r="I30" i="2"/>
  <c r="I37" i="4"/>
  <c r="L13" i="2"/>
  <c r="J33" i="2"/>
  <c r="K25" i="2"/>
  <c r="L38" i="4" s="1" a="1"/>
  <c r="L38" i="4" s="1"/>
  <c r="L5" i="4"/>
  <c r="M19" i="5"/>
  <c r="M6" i="4"/>
  <c r="M13" i="4"/>
  <c r="J21" i="2"/>
  <c r="I60" i="2" l="1"/>
  <c r="J105" i="2"/>
  <c r="K83" i="2"/>
  <c r="N39" i="2"/>
  <c r="L11" i="2"/>
  <c r="L18" i="4"/>
  <c r="L61" i="2"/>
  <c r="L11" i="4"/>
  <c r="M14" i="4"/>
  <c r="L8" i="2"/>
  <c r="L16" i="4"/>
  <c r="L19" i="4" s="1"/>
  <c r="C50" i="2"/>
  <c r="M6" i="2"/>
  <c r="M15" i="4"/>
  <c r="M36" i="4" s="1"/>
  <c r="K33" i="2"/>
  <c r="N19" i="5"/>
  <c r="C34" i="4" s="1"/>
  <c r="N6" i="4"/>
  <c r="O6" i="4" s="1"/>
  <c r="N13" i="4"/>
  <c r="M5" i="4"/>
  <c r="L25" i="2"/>
  <c r="M38" i="4" s="1" a="1"/>
  <c r="M38" i="4" s="1"/>
  <c r="M13" i="2"/>
  <c r="J30" i="2"/>
  <c r="J37" i="4"/>
  <c r="K21" i="2"/>
  <c r="N105" i="2" l="1"/>
  <c r="M57" i="4"/>
  <c r="M78" i="4" s="1"/>
  <c r="M99" i="4" s="1"/>
  <c r="M11" i="2"/>
  <c r="M18" i="4"/>
  <c r="L83" i="2"/>
  <c r="J60" i="2"/>
  <c r="M61" i="2"/>
  <c r="M11" i="4"/>
  <c r="N14" i="4"/>
  <c r="O14" i="4" s="1"/>
  <c r="B5" i="3" s="1"/>
  <c r="L20" i="4"/>
  <c r="B34" i="2"/>
  <c r="N13" i="2"/>
  <c r="L33" i="2"/>
  <c r="D50" i="2"/>
  <c r="B27" i="2"/>
  <c r="M21" i="2"/>
  <c r="N21" i="2" s="1"/>
  <c r="N15" i="4"/>
  <c r="N6" i="2"/>
  <c r="M8" i="2"/>
  <c r="M16" i="4"/>
  <c r="M19" i="4" s="1"/>
  <c r="M20" i="4" s="1"/>
  <c r="O13" i="4"/>
  <c r="P13" i="4" s="1"/>
  <c r="B7" i="3" s="1"/>
  <c r="L21" i="2"/>
  <c r="K30" i="2"/>
  <c r="K37" i="4"/>
  <c r="M25" i="2"/>
  <c r="N38" i="4" s="1" a="1"/>
  <c r="N38" i="4" s="1"/>
  <c r="O38" i="4" s="1"/>
  <c r="C27" i="4"/>
  <c r="N5" i="4"/>
  <c r="P6" i="4" s="1"/>
  <c r="O19" i="5"/>
  <c r="M83" i="2" l="1"/>
  <c r="O15" i="4"/>
  <c r="N36" i="4"/>
  <c r="N61" i="2"/>
  <c r="K60" i="2"/>
  <c r="B32" i="2"/>
  <c r="N18" i="4"/>
  <c r="O18" i="4" s="1"/>
  <c r="N11" i="2"/>
  <c r="B47" i="2"/>
  <c r="C59" i="4" s="1"/>
  <c r="N25" i="2"/>
  <c r="B29" i="2"/>
  <c r="N16" i="4"/>
  <c r="O16" i="4" s="1"/>
  <c r="N8" i="2"/>
  <c r="C27" i="2"/>
  <c r="B43" i="2"/>
  <c r="M33" i="2"/>
  <c r="C34" i="2"/>
  <c r="D34" i="2" s="1"/>
  <c r="E34" i="2" s="1"/>
  <c r="F34" i="2" s="1"/>
  <c r="G34" i="2" s="1"/>
  <c r="H34" i="2" s="1"/>
  <c r="I34" i="2" s="1"/>
  <c r="J34" i="2" s="1"/>
  <c r="K34" i="2" s="1"/>
  <c r="L34" i="2" s="1"/>
  <c r="M34" i="2" s="1"/>
  <c r="B56" i="2" s="1"/>
  <c r="N34" i="2"/>
  <c r="L30" i="2"/>
  <c r="L37" i="4"/>
  <c r="N11" i="4"/>
  <c r="O5" i="4"/>
  <c r="P5" i="4" s="1"/>
  <c r="B4" i="3" s="1"/>
  <c r="D34" i="4"/>
  <c r="C26" i="4"/>
  <c r="D27" i="4"/>
  <c r="D27" i="5"/>
  <c r="E50" i="2"/>
  <c r="P18" i="4" l="1"/>
  <c r="B9" i="3" s="1"/>
  <c r="L60" i="2"/>
  <c r="N57" i="4"/>
  <c r="N78" i="4" s="1"/>
  <c r="N99" i="4" s="1"/>
  <c r="O36" i="4"/>
  <c r="C32" i="2"/>
  <c r="C39" i="4"/>
  <c r="N83" i="2"/>
  <c r="F50" i="2"/>
  <c r="C47" i="2"/>
  <c r="D59" i="4" s="1"/>
  <c r="M30" i="2"/>
  <c r="M37" i="4"/>
  <c r="C56" i="2"/>
  <c r="D56" i="2" s="1"/>
  <c r="E56" i="2" s="1"/>
  <c r="F56" i="2" s="1"/>
  <c r="G56" i="2" s="1"/>
  <c r="H56" i="2" s="1"/>
  <c r="I56" i="2" s="1"/>
  <c r="J56" i="2" s="1"/>
  <c r="K56" i="2" s="1"/>
  <c r="L56" i="2" s="1"/>
  <c r="M56" i="2" s="1"/>
  <c r="B78" i="2" s="1"/>
  <c r="C37" i="4"/>
  <c r="C29" i="2"/>
  <c r="D29" i="2" s="1"/>
  <c r="E29" i="2" s="1"/>
  <c r="F29" i="2" s="1"/>
  <c r="G29" i="2" s="1"/>
  <c r="H29" i="2" s="1"/>
  <c r="I29" i="2" s="1"/>
  <c r="J29" i="2" s="1"/>
  <c r="K29" i="2" s="1"/>
  <c r="L29" i="2" s="1"/>
  <c r="M29" i="2" s="1"/>
  <c r="B51" i="2" s="1"/>
  <c r="C32" i="4"/>
  <c r="C35" i="4" s="1"/>
  <c r="O11" i="4"/>
  <c r="D27" i="2"/>
  <c r="E34" i="4"/>
  <c r="E27" i="5"/>
  <c r="E27" i="4"/>
  <c r="D26" i="4"/>
  <c r="D32" i="4" s="1"/>
  <c r="D35" i="4" s="1"/>
  <c r="N19" i="4"/>
  <c r="O19" i="4" s="1"/>
  <c r="B55" i="2"/>
  <c r="N33" i="2"/>
  <c r="D32" i="2" l="1"/>
  <c r="D39" i="4"/>
  <c r="M60" i="2"/>
  <c r="D40" i="4"/>
  <c r="D41" i="4" s="1"/>
  <c r="C40" i="4"/>
  <c r="N20" i="4"/>
  <c r="O20" i="4" s="1"/>
  <c r="B6" i="3"/>
  <c r="B8" i="3" s="1"/>
  <c r="B10" i="3" s="1"/>
  <c r="B12" i="3" s="1"/>
  <c r="B14" i="3" s="1"/>
  <c r="G50" i="2"/>
  <c r="C43" i="2"/>
  <c r="C78" i="2"/>
  <c r="D78" i="2" s="1"/>
  <c r="E78" i="2" s="1"/>
  <c r="F78" i="2" s="1"/>
  <c r="G78" i="2" s="1"/>
  <c r="H78" i="2" s="1"/>
  <c r="I78" i="2" s="1"/>
  <c r="J78" i="2" s="1"/>
  <c r="K78" i="2" s="1"/>
  <c r="L78" i="2" s="1"/>
  <c r="M78" i="2" s="1"/>
  <c r="B100" i="2" s="1"/>
  <c r="C55" i="2"/>
  <c r="C58" i="4"/>
  <c r="C51" i="2"/>
  <c r="D47" i="2"/>
  <c r="E59" i="4" s="1"/>
  <c r="N37" i="4"/>
  <c r="O37" i="4" s="1"/>
  <c r="B52" i="2"/>
  <c r="N30" i="2"/>
  <c r="F27" i="4"/>
  <c r="F34" i="4"/>
  <c r="F27" i="5"/>
  <c r="E26" i="4"/>
  <c r="E32" i="4" s="1"/>
  <c r="E35" i="4" s="1"/>
  <c r="E27" i="2"/>
  <c r="D43" i="2"/>
  <c r="N29" i="2"/>
  <c r="N56" i="2"/>
  <c r="E32" i="2" l="1"/>
  <c r="E39" i="4"/>
  <c r="B82" i="2"/>
  <c r="N60" i="2"/>
  <c r="D58" i="4"/>
  <c r="D51" i="2"/>
  <c r="C41" i="4"/>
  <c r="F26" i="4"/>
  <c r="G27" i="4"/>
  <c r="G27" i="5"/>
  <c r="G34" i="4"/>
  <c r="C52" i="2"/>
  <c r="E47" i="2"/>
  <c r="F59" i="4" s="1"/>
  <c r="C100" i="2"/>
  <c r="D100" i="2" s="1"/>
  <c r="E100" i="2" s="1"/>
  <c r="F100" i="2" s="1"/>
  <c r="G100" i="2" s="1"/>
  <c r="H100" i="2" s="1"/>
  <c r="I100" i="2" s="1"/>
  <c r="J100" i="2" s="1"/>
  <c r="K100" i="2" s="1"/>
  <c r="L100" i="2" s="1"/>
  <c r="M100" i="2" s="1"/>
  <c r="F27" i="2"/>
  <c r="D55" i="2"/>
  <c r="N78" i="2"/>
  <c r="H50" i="2"/>
  <c r="F32" i="2" l="1"/>
  <c r="F39" i="4"/>
  <c r="C82" i="2"/>
  <c r="E43" i="2"/>
  <c r="D52" i="2"/>
  <c r="E40" i="4"/>
  <c r="E41" i="4" s="1"/>
  <c r="G27" i="2"/>
  <c r="F43" i="2"/>
  <c r="N100" i="2"/>
  <c r="F32" i="4"/>
  <c r="E58" i="4"/>
  <c r="E51" i="2"/>
  <c r="E55" i="2"/>
  <c r="I50" i="2"/>
  <c r="F47" i="2"/>
  <c r="G59" i="4" s="1"/>
  <c r="H34" i="4"/>
  <c r="H27" i="4"/>
  <c r="G26" i="4"/>
  <c r="G32" i="4" s="1"/>
  <c r="G35" i="4" s="1"/>
  <c r="H27" i="5"/>
  <c r="D82" i="2" l="1"/>
  <c r="G32" i="2"/>
  <c r="G39" i="4"/>
  <c r="E52" i="2"/>
  <c r="F35" i="4"/>
  <c r="F40" i="4" s="1"/>
  <c r="F41" i="4" s="1"/>
  <c r="F55" i="2"/>
  <c r="G47" i="2"/>
  <c r="H59" i="4" s="1"/>
  <c r="H27" i="2"/>
  <c r="G43" i="2"/>
  <c r="I27" i="4"/>
  <c r="I34" i="4"/>
  <c r="H26" i="4"/>
  <c r="I27" i="5"/>
  <c r="J50" i="2"/>
  <c r="F58" i="4"/>
  <c r="F51" i="2"/>
  <c r="F52" i="2" l="1"/>
  <c r="E82" i="2"/>
  <c r="H32" i="2"/>
  <c r="H39" i="4"/>
  <c r="G40" i="4"/>
  <c r="G41" i="4" s="1"/>
  <c r="G58" i="4"/>
  <c r="G51" i="2"/>
  <c r="G55" i="2"/>
  <c r="K50" i="2"/>
  <c r="H32" i="4"/>
  <c r="I27" i="2"/>
  <c r="J27" i="5"/>
  <c r="I26" i="4"/>
  <c r="I32" i="4" s="1"/>
  <c r="I35" i="4" s="1"/>
  <c r="J34" i="4"/>
  <c r="J27" i="4"/>
  <c r="H47" i="2"/>
  <c r="I59" i="4" s="1"/>
  <c r="G52" i="2" l="1"/>
  <c r="I32" i="2"/>
  <c r="I39" i="4"/>
  <c r="I40" i="4" s="1"/>
  <c r="I41" i="4" s="1"/>
  <c r="H43" i="2"/>
  <c r="F82" i="2"/>
  <c r="H35" i="4"/>
  <c r="H40" i="4" s="1"/>
  <c r="H41" i="4" s="1"/>
  <c r="O41" i="4" s="1"/>
  <c r="I47" i="2"/>
  <c r="J59" i="4" s="1"/>
  <c r="H58" i="4"/>
  <c r="H51" i="2"/>
  <c r="L50" i="2"/>
  <c r="H55" i="2"/>
  <c r="J26" i="4"/>
  <c r="K27" i="4"/>
  <c r="K34" i="4"/>
  <c r="K27" i="5"/>
  <c r="J27" i="2"/>
  <c r="I43" i="2"/>
  <c r="H52" i="2" l="1"/>
  <c r="G82" i="2"/>
  <c r="J32" i="2"/>
  <c r="J39" i="4"/>
  <c r="I55" i="2"/>
  <c r="K27" i="2"/>
  <c r="J43" i="2"/>
  <c r="J32" i="4"/>
  <c r="I58" i="4"/>
  <c r="I51" i="2"/>
  <c r="L34" i="4"/>
  <c r="L27" i="4"/>
  <c r="K26" i="4"/>
  <c r="K32" i="4" s="1"/>
  <c r="K35" i="4" s="1"/>
  <c r="L27" i="5"/>
  <c r="M50" i="2"/>
  <c r="J47" i="2"/>
  <c r="K59" i="4" s="1"/>
  <c r="H82" i="2" l="1"/>
  <c r="K32" i="2"/>
  <c r="K39" i="4"/>
  <c r="K40" i="4" s="1"/>
  <c r="K41" i="4" s="1"/>
  <c r="I52" i="2"/>
  <c r="J35" i="4"/>
  <c r="J40" i="4" s="1"/>
  <c r="J41" i="4" s="1"/>
  <c r="P41" i="4" s="1"/>
  <c r="B17" i="1" s="1"/>
  <c r="B19" i="1" s="1"/>
  <c r="K47" i="2"/>
  <c r="L59" i="4" s="1"/>
  <c r="J55" i="2"/>
  <c r="M27" i="5"/>
  <c r="M27" i="4"/>
  <c r="M34" i="4"/>
  <c r="L26" i="4"/>
  <c r="L32" i="4" s="1"/>
  <c r="L35" i="4" s="1"/>
  <c r="J58" i="4"/>
  <c r="J51" i="2"/>
  <c r="O57" i="4"/>
  <c r="B72" i="2"/>
  <c r="N50" i="2"/>
  <c r="L27" i="2"/>
  <c r="K43" i="2"/>
  <c r="L32" i="2" l="1"/>
  <c r="L39" i="4"/>
  <c r="L40" i="4" s="1"/>
  <c r="L41" i="4" s="1"/>
  <c r="J52" i="2"/>
  <c r="I82" i="2"/>
  <c r="C3" i="4"/>
  <c r="C21" i="4" s="1"/>
  <c r="D3" i="4" s="1"/>
  <c r="D21" i="4" s="1"/>
  <c r="E3" i="4" s="1"/>
  <c r="E21" i="4" s="1"/>
  <c r="F3" i="4" s="1"/>
  <c r="F21" i="4" s="1"/>
  <c r="G3" i="4" s="1"/>
  <c r="G21" i="4" s="1"/>
  <c r="H3" i="4" s="1"/>
  <c r="H21" i="4" s="1"/>
  <c r="I3" i="4" s="1"/>
  <c r="I21" i="4" s="1"/>
  <c r="J3" i="4" s="1"/>
  <c r="J21" i="4" s="1"/>
  <c r="K3" i="4" s="1"/>
  <c r="K21" i="4" s="1"/>
  <c r="L3" i="4" s="1"/>
  <c r="L21" i="4" s="1"/>
  <c r="M3" i="4" s="1"/>
  <c r="M21" i="4" s="1"/>
  <c r="N3" i="4" s="1"/>
  <c r="N21" i="4" s="1"/>
  <c r="C24" i="4" s="1"/>
  <c r="C42" i="4" s="1"/>
  <c r="D24" i="4" s="1"/>
  <c r="D42" i="4" s="1"/>
  <c r="E24" i="4" s="1"/>
  <c r="E42" i="4" s="1"/>
  <c r="F24" i="4" s="1"/>
  <c r="F42" i="4" s="1"/>
  <c r="G24" i="4" s="1"/>
  <c r="G42" i="4" s="1"/>
  <c r="H24" i="4" s="1"/>
  <c r="H42" i="4" s="1"/>
  <c r="I24" i="4" s="1"/>
  <c r="I42" i="4" s="1"/>
  <c r="J24" i="4" s="1"/>
  <c r="J42" i="4" s="1"/>
  <c r="K24" i="4" s="1"/>
  <c r="K42" i="4" s="1"/>
  <c r="L24" i="4" s="1"/>
  <c r="B20" i="1"/>
  <c r="B1" i="3" s="1"/>
  <c r="N27" i="5"/>
  <c r="C55" i="4" s="1"/>
  <c r="M26" i="4"/>
  <c r="M32" i="4" s="1"/>
  <c r="N27" i="4"/>
  <c r="O27" i="4" s="1"/>
  <c r="N34" i="4"/>
  <c r="C72" i="2"/>
  <c r="K55" i="2"/>
  <c r="M27" i="2"/>
  <c r="L43" i="2"/>
  <c r="K58" i="4"/>
  <c r="K51" i="2"/>
  <c r="L47" i="2"/>
  <c r="M59" i="4" s="1"/>
  <c r="L42" i="4" l="1"/>
  <c r="M24" i="4" s="1"/>
  <c r="K52" i="2"/>
  <c r="J82" i="2"/>
  <c r="M32" i="2"/>
  <c r="M43" i="2" s="1"/>
  <c r="N43" i="2" s="1"/>
  <c r="M39" i="4"/>
  <c r="M35" i="4"/>
  <c r="M40" i="4" s="1"/>
  <c r="B15" i="3"/>
  <c r="M47" i="2"/>
  <c r="N59" i="4" s="1"/>
  <c r="O59" i="4" s="1"/>
  <c r="O34" i="4"/>
  <c r="B49" i="2"/>
  <c r="N27" i="2"/>
  <c r="L58" i="4"/>
  <c r="L51" i="2"/>
  <c r="D72" i="2"/>
  <c r="L55" i="2"/>
  <c r="C35" i="5"/>
  <c r="N26" i="4"/>
  <c r="O26" i="4" s="1"/>
  <c r="O27" i="5"/>
  <c r="L52" i="2" l="1"/>
  <c r="K82" i="2"/>
  <c r="B54" i="2"/>
  <c r="N39" i="4"/>
  <c r="O39" i="4" s="1"/>
  <c r="N32" i="2"/>
  <c r="M41" i="4"/>
  <c r="M42" i="4"/>
  <c r="N24" i="4" s="1"/>
  <c r="P34" i="4"/>
  <c r="E7" i="3" s="1"/>
  <c r="N32" i="4"/>
  <c r="N35" i="4" s="1"/>
  <c r="P26" i="4"/>
  <c r="E4" i="3" s="1"/>
  <c r="M55" i="2"/>
  <c r="E72" i="2"/>
  <c r="D55" i="4"/>
  <c r="C47" i="4"/>
  <c r="D35" i="5"/>
  <c r="M58" i="4"/>
  <c r="M51" i="2"/>
  <c r="C49" i="2"/>
  <c r="B65" i="2"/>
  <c r="B69" i="2"/>
  <c r="C80" i="4" s="1"/>
  <c r="N47" i="2"/>
  <c r="L82" i="2" l="1"/>
  <c r="P39" i="4"/>
  <c r="E9" i="3" s="1"/>
  <c r="C54" i="2"/>
  <c r="C60" i="4"/>
  <c r="M52" i="2"/>
  <c r="P27" i="4"/>
  <c r="O35" i="4"/>
  <c r="N40" i="4"/>
  <c r="O40" i="4" s="1"/>
  <c r="Q26" i="4"/>
  <c r="Q27" i="4" s="1"/>
  <c r="D49" i="2"/>
  <c r="C65" i="2"/>
  <c r="C53" i="4"/>
  <c r="C56" i="4" s="1"/>
  <c r="O32" i="4"/>
  <c r="N58" i="4"/>
  <c r="O58" i="4" s="1"/>
  <c r="B73" i="2"/>
  <c r="N51" i="2"/>
  <c r="E55" i="4"/>
  <c r="D47" i="4"/>
  <c r="D53" i="4" s="1"/>
  <c r="E35" i="5"/>
  <c r="F72" i="2"/>
  <c r="C69" i="2"/>
  <c r="D80" i="4" s="1"/>
  <c r="B77" i="2"/>
  <c r="N55" i="2"/>
  <c r="D54" i="2" l="1"/>
  <c r="D60" i="4"/>
  <c r="B74" i="2"/>
  <c r="N52" i="2"/>
  <c r="M82" i="2"/>
  <c r="D56" i="4"/>
  <c r="E5" i="3"/>
  <c r="E6" i="3" s="1"/>
  <c r="E8" i="3" s="1"/>
  <c r="E10" i="3" s="1"/>
  <c r="E12" i="3" s="1"/>
  <c r="E14" i="3" s="1"/>
  <c r="E15" i="3" s="1"/>
  <c r="N42" i="4"/>
  <c r="C45" i="4" s="1"/>
  <c r="N41" i="4"/>
  <c r="C61" i="4"/>
  <c r="C62" i="4" s="1"/>
  <c r="C77" i="2"/>
  <c r="D69" i="2"/>
  <c r="E80" i="4" s="1"/>
  <c r="F55" i="4"/>
  <c r="E47" i="4"/>
  <c r="E53" i="4" s="1"/>
  <c r="E56" i="4" s="1"/>
  <c r="F35" i="5"/>
  <c r="C79" i="4"/>
  <c r="C73" i="2"/>
  <c r="E49" i="2"/>
  <c r="G72" i="2"/>
  <c r="B104" i="2" l="1"/>
  <c r="N82" i="2"/>
  <c r="D61" i="4"/>
  <c r="D62" i="4" s="1"/>
  <c r="E54" i="2"/>
  <c r="E60" i="4"/>
  <c r="D65" i="2"/>
  <c r="C74" i="2"/>
  <c r="C63" i="4"/>
  <c r="D45" i="4" s="1"/>
  <c r="D63" i="4" s="1"/>
  <c r="E45" i="4" s="1"/>
  <c r="D77" i="2"/>
  <c r="H72" i="2"/>
  <c r="F49" i="2"/>
  <c r="E65" i="2"/>
  <c r="G55" i="4"/>
  <c r="F47" i="4"/>
  <c r="G35" i="5"/>
  <c r="E69" i="2"/>
  <c r="F80" i="4" s="1"/>
  <c r="D79" i="4"/>
  <c r="D73" i="2"/>
  <c r="F54" i="2" l="1"/>
  <c r="F60" i="4"/>
  <c r="E61" i="4"/>
  <c r="E62" i="4" s="1"/>
  <c r="D74" i="2"/>
  <c r="C104" i="2"/>
  <c r="F69" i="2"/>
  <c r="G80" i="4" s="1"/>
  <c r="I72" i="2"/>
  <c r="H55" i="4"/>
  <c r="G47" i="4"/>
  <c r="G53" i="4" s="1"/>
  <c r="H35" i="5"/>
  <c r="F53" i="4"/>
  <c r="F56" i="4" s="1"/>
  <c r="E79" i="4"/>
  <c r="E73" i="2"/>
  <c r="G49" i="2"/>
  <c r="F65" i="2"/>
  <c r="E77" i="2"/>
  <c r="E63" i="4" l="1"/>
  <c r="F45" i="4" s="1"/>
  <c r="G54" i="2"/>
  <c r="G60" i="4"/>
  <c r="D104" i="2"/>
  <c r="E74" i="2"/>
  <c r="G56" i="4"/>
  <c r="G61" i="4" s="1"/>
  <c r="G62" i="4" s="1"/>
  <c r="F61" i="4"/>
  <c r="F62" i="4" s="1"/>
  <c r="H49" i="2"/>
  <c r="G65" i="2"/>
  <c r="I55" i="4"/>
  <c r="H47" i="4"/>
  <c r="I35" i="5"/>
  <c r="F77" i="2"/>
  <c r="J72" i="2"/>
  <c r="G69" i="2"/>
  <c r="H80" i="4" s="1"/>
  <c r="F79" i="4"/>
  <c r="F73" i="2"/>
  <c r="E104" i="2" l="1"/>
  <c r="F74" i="2"/>
  <c r="H54" i="2"/>
  <c r="H60" i="4"/>
  <c r="F63" i="4"/>
  <c r="G45" i="4" s="1"/>
  <c r="G63" i="4" s="1"/>
  <c r="H45" i="4" s="1"/>
  <c r="J55" i="4"/>
  <c r="I47" i="4"/>
  <c r="I53" i="4" s="1"/>
  <c r="I56" i="4" s="1"/>
  <c r="J35" i="5"/>
  <c r="H69" i="2"/>
  <c r="I80" i="4" s="1"/>
  <c r="H53" i="4"/>
  <c r="H56" i="4" s="1"/>
  <c r="I49" i="2"/>
  <c r="G77" i="2"/>
  <c r="G79" i="4"/>
  <c r="G73" i="2"/>
  <c r="K72" i="2"/>
  <c r="G74" i="2" l="1"/>
  <c r="I54" i="2"/>
  <c r="I60" i="4"/>
  <c r="H65" i="2"/>
  <c r="F104" i="2"/>
  <c r="I61" i="4"/>
  <c r="I62" i="4" s="1"/>
  <c r="H61" i="4"/>
  <c r="H62" i="4" s="1"/>
  <c r="H77" i="2"/>
  <c r="K55" i="4"/>
  <c r="J47" i="4"/>
  <c r="K35" i="5"/>
  <c r="L72" i="2"/>
  <c r="H79" i="4"/>
  <c r="H73" i="2"/>
  <c r="J49" i="2"/>
  <c r="I65" i="2"/>
  <c r="I69" i="2"/>
  <c r="J80" i="4" s="1"/>
  <c r="G104" i="2" l="1"/>
  <c r="J54" i="2"/>
  <c r="J60" i="4"/>
  <c r="H74" i="2"/>
  <c r="H63" i="4"/>
  <c r="I45" i="4" s="1"/>
  <c r="I63" i="4" s="1"/>
  <c r="J45" i="4" s="1"/>
  <c r="J53" i="4"/>
  <c r="M72" i="2"/>
  <c r="K49" i="2"/>
  <c r="J65" i="2"/>
  <c r="J69" i="2"/>
  <c r="K80" i="4" s="1"/>
  <c r="I79" i="4"/>
  <c r="I73" i="2"/>
  <c r="L55" i="4"/>
  <c r="K47" i="4"/>
  <c r="K53" i="4" s="1"/>
  <c r="K56" i="4" s="1"/>
  <c r="L35" i="5"/>
  <c r="I77" i="2"/>
  <c r="K54" i="2" l="1"/>
  <c r="K60" i="4"/>
  <c r="I74" i="2"/>
  <c r="H104" i="2"/>
  <c r="J56" i="4"/>
  <c r="J61" i="4" s="1"/>
  <c r="K61" i="4"/>
  <c r="K62" i="4" s="1"/>
  <c r="K69" i="2"/>
  <c r="L80" i="4" s="1"/>
  <c r="M55" i="4"/>
  <c r="L47" i="4"/>
  <c r="L53" i="4" s="1"/>
  <c r="L56" i="4" s="1"/>
  <c r="M35" i="5"/>
  <c r="J79" i="4"/>
  <c r="J73" i="2"/>
  <c r="L49" i="2"/>
  <c r="K65" i="2"/>
  <c r="J77" i="2"/>
  <c r="O78" i="4"/>
  <c r="B94" i="2"/>
  <c r="N72" i="2"/>
  <c r="J74" i="2" l="1"/>
  <c r="I104" i="2"/>
  <c r="L54" i="2"/>
  <c r="L60" i="4"/>
  <c r="L61" i="4" s="1"/>
  <c r="L62" i="4" s="1"/>
  <c r="J63" i="4"/>
  <c r="K45" i="4" s="1"/>
  <c r="K63" i="4" s="1"/>
  <c r="L45" i="4" s="1"/>
  <c r="J62" i="4"/>
  <c r="M49" i="2"/>
  <c r="L65" i="2"/>
  <c r="K79" i="4"/>
  <c r="K73" i="2"/>
  <c r="K77" i="2"/>
  <c r="C94" i="2"/>
  <c r="N55" i="4"/>
  <c r="M47" i="4"/>
  <c r="M53" i="4" s="1"/>
  <c r="M56" i="4" s="1"/>
  <c r="N35" i="5"/>
  <c r="L69" i="2"/>
  <c r="M80" i="4" s="1"/>
  <c r="M54" i="2" l="1"/>
  <c r="M60" i="4"/>
  <c r="J104" i="2"/>
  <c r="K74" i="2"/>
  <c r="C43" i="5"/>
  <c r="D76" i="4" s="1"/>
  <c r="C76" i="4"/>
  <c r="L63" i="4"/>
  <c r="M45" i="4" s="1"/>
  <c r="M61" i="4"/>
  <c r="M62" i="4" s="1"/>
  <c r="O55" i="4"/>
  <c r="P55" i="4" s="1"/>
  <c r="H7" i="3" s="1"/>
  <c r="L77" i="2"/>
  <c r="M69" i="2"/>
  <c r="N80" i="4" s="1"/>
  <c r="O80" i="4" s="1"/>
  <c r="D94" i="2"/>
  <c r="N47" i="4"/>
  <c r="O35" i="5"/>
  <c r="L79" i="4"/>
  <c r="L73" i="2"/>
  <c r="B71" i="2"/>
  <c r="M65" i="2"/>
  <c r="N65" i="2" s="1"/>
  <c r="N49" i="2"/>
  <c r="L74" i="2" l="1"/>
  <c r="N104" i="2"/>
  <c r="B76" i="2"/>
  <c r="N60" i="4"/>
  <c r="O60" i="4" s="1"/>
  <c r="P60" i="4" s="1"/>
  <c r="H9" i="3" s="1"/>
  <c r="N54" i="2"/>
  <c r="M63" i="4"/>
  <c r="N45" i="4" s="1"/>
  <c r="M79" i="4"/>
  <c r="M73" i="2"/>
  <c r="E94" i="2"/>
  <c r="M77" i="2"/>
  <c r="C68" i="4"/>
  <c r="D43" i="5"/>
  <c r="E76" i="4" s="1"/>
  <c r="N53" i="4"/>
  <c r="N56" i="4" s="1"/>
  <c r="O47" i="4"/>
  <c r="P47" i="4" s="1"/>
  <c r="C71" i="2"/>
  <c r="B87" i="2"/>
  <c r="B91" i="2"/>
  <c r="C101" i="4" s="1"/>
  <c r="N69" i="2"/>
  <c r="C76" i="2" l="1"/>
  <c r="C81" i="4"/>
  <c r="M74" i="2"/>
  <c r="H4" i="3"/>
  <c r="O56" i="4"/>
  <c r="N61" i="4"/>
  <c r="O61" i="4" s="1"/>
  <c r="O53" i="4"/>
  <c r="B99" i="2"/>
  <c r="N77" i="2"/>
  <c r="N79" i="4"/>
  <c r="O79" i="4" s="1"/>
  <c r="B95" i="2"/>
  <c r="N73" i="2"/>
  <c r="C91" i="2"/>
  <c r="D101" i="4" s="1"/>
  <c r="D71" i="2"/>
  <c r="C87" i="2"/>
  <c r="D68" i="4"/>
  <c r="D74" i="4" s="1"/>
  <c r="D77" i="4" s="1"/>
  <c r="C74" i="4"/>
  <c r="C77" i="4" s="1"/>
  <c r="F94" i="2"/>
  <c r="D76" i="2" l="1"/>
  <c r="D87" i="2" s="1"/>
  <c r="D81" i="4"/>
  <c r="B96" i="2"/>
  <c r="N74" i="2"/>
  <c r="H5" i="3"/>
  <c r="H6" i="3" s="1"/>
  <c r="H8" i="3" s="1"/>
  <c r="H10" i="3" s="1"/>
  <c r="H12" i="3" s="1"/>
  <c r="H14" i="3" s="1"/>
  <c r="N63" i="4"/>
  <c r="C66" i="4" s="1"/>
  <c r="N62" i="4"/>
  <c r="O62" i="4" s="1"/>
  <c r="P62" i="4" s="1"/>
  <c r="D82" i="4"/>
  <c r="D83" i="4" s="1"/>
  <c r="G94" i="2"/>
  <c r="D91" i="2"/>
  <c r="E101" i="4" s="1"/>
  <c r="F76" i="4"/>
  <c r="E68" i="4"/>
  <c r="E71" i="2"/>
  <c r="C99" i="2"/>
  <c r="C100" i="4"/>
  <c r="C95" i="2"/>
  <c r="H15" i="3" l="1"/>
  <c r="H17" i="3"/>
  <c r="C96" i="2"/>
  <c r="E76" i="2"/>
  <c r="E81" i="4"/>
  <c r="D100" i="4"/>
  <c r="D95" i="2"/>
  <c r="F71" i="2"/>
  <c r="H94" i="2"/>
  <c r="G76" i="4"/>
  <c r="F68" i="4"/>
  <c r="F74" i="4" s="1"/>
  <c r="F77" i="4" s="1"/>
  <c r="D99" i="2"/>
  <c r="E74" i="4"/>
  <c r="E91" i="2"/>
  <c r="F101" i="4" s="1"/>
  <c r="F76" i="2" l="1"/>
  <c r="F81" i="4"/>
  <c r="E87" i="2"/>
  <c r="D96" i="2"/>
  <c r="E77" i="4"/>
  <c r="E82" i="4" s="1"/>
  <c r="E83" i="4" s="1"/>
  <c r="F82" i="4"/>
  <c r="F83" i="4" s="1"/>
  <c r="F91" i="2"/>
  <c r="G101" i="4" s="1"/>
  <c r="G71" i="2"/>
  <c r="F87" i="2"/>
  <c r="H76" i="4"/>
  <c r="G68" i="4"/>
  <c r="E100" i="4"/>
  <c r="E95" i="2"/>
  <c r="I94" i="2"/>
  <c r="E99" i="2"/>
  <c r="G76" i="2" l="1"/>
  <c r="G81" i="4"/>
  <c r="E96" i="2"/>
  <c r="J94" i="2"/>
  <c r="F100" i="4"/>
  <c r="F95" i="2"/>
  <c r="G91" i="2"/>
  <c r="H101" i="4" s="1"/>
  <c r="G74" i="4"/>
  <c r="G77" i="4" s="1"/>
  <c r="F99" i="2"/>
  <c r="I76" i="4"/>
  <c r="H68" i="4"/>
  <c r="H74" i="4" s="1"/>
  <c r="H77" i="4" s="1"/>
  <c r="H71" i="2"/>
  <c r="G87" i="2"/>
  <c r="F96" i="2" l="1"/>
  <c r="H76" i="2"/>
  <c r="H81" i="4"/>
  <c r="H82" i="4"/>
  <c r="H83" i="4" s="1"/>
  <c r="G82" i="4"/>
  <c r="G83" i="4" s="1"/>
  <c r="J76" i="4"/>
  <c r="I68" i="4"/>
  <c r="I74" i="4" s="1"/>
  <c r="I77" i="4" s="1"/>
  <c r="H91" i="2"/>
  <c r="I101" i="4" s="1"/>
  <c r="O99" i="4"/>
  <c r="N94" i="2"/>
  <c r="I71" i="2"/>
  <c r="H87" i="2"/>
  <c r="G99" i="2"/>
  <c r="G100" i="4"/>
  <c r="G95" i="2"/>
  <c r="I76" i="2" l="1"/>
  <c r="I81" i="4"/>
  <c r="G96" i="2"/>
  <c r="I82" i="4"/>
  <c r="I83" i="4" s="1"/>
  <c r="K76" i="4"/>
  <c r="J68" i="4"/>
  <c r="J74" i="4" s="1"/>
  <c r="J77" i="4" s="1"/>
  <c r="J71" i="2"/>
  <c r="I87" i="2"/>
  <c r="H99" i="2"/>
  <c r="I91" i="2"/>
  <c r="J101" i="4" s="1"/>
  <c r="H100" i="4"/>
  <c r="H95" i="2"/>
  <c r="H96" i="2" l="1"/>
  <c r="J76" i="2"/>
  <c r="J81" i="4"/>
  <c r="J82" i="4" s="1"/>
  <c r="J83" i="4" s="1"/>
  <c r="K71" i="2"/>
  <c r="J87" i="2"/>
  <c r="L76" i="4"/>
  <c r="K68" i="4"/>
  <c r="K74" i="4" s="1"/>
  <c r="K77" i="4" s="1"/>
  <c r="J91" i="2"/>
  <c r="K101" i="4" s="1"/>
  <c r="O101" i="4" s="1"/>
  <c r="I100" i="4"/>
  <c r="I95" i="2"/>
  <c r="I99" i="2"/>
  <c r="N91" i="2" l="1"/>
  <c r="K76" i="2"/>
  <c r="K81" i="4"/>
  <c r="K82" i="4" s="1"/>
  <c r="K83" i="4" s="1"/>
  <c r="I96" i="2"/>
  <c r="J99" i="2"/>
  <c r="J100" i="4"/>
  <c r="J95" i="2"/>
  <c r="M76" i="4"/>
  <c r="L68" i="4"/>
  <c r="L74" i="4" s="1"/>
  <c r="L77" i="4" s="1"/>
  <c r="L71" i="2"/>
  <c r="K87" i="2"/>
  <c r="J96" i="2" l="1"/>
  <c r="N99" i="2"/>
  <c r="L76" i="2"/>
  <c r="L81" i="4"/>
  <c r="L82" i="4" s="1"/>
  <c r="L83" i="4" s="1"/>
  <c r="M71" i="2"/>
  <c r="L87" i="2"/>
  <c r="N76" i="4"/>
  <c r="M68" i="4"/>
  <c r="M74" i="4" s="1"/>
  <c r="M77" i="4" s="1"/>
  <c r="C97" i="4"/>
  <c r="K100" i="4"/>
  <c r="K95" i="2"/>
  <c r="M76" i="2" l="1"/>
  <c r="M81" i="4"/>
  <c r="N96" i="2"/>
  <c r="M82" i="4"/>
  <c r="M83" i="4" s="1"/>
  <c r="L100" i="4"/>
  <c r="L95" i="2"/>
  <c r="N68" i="4"/>
  <c r="C51" i="5"/>
  <c r="D97" i="4" s="1"/>
  <c r="O43" i="5"/>
  <c r="B93" i="2"/>
  <c r="M87" i="2"/>
  <c r="N87" i="2" s="1"/>
  <c r="N71" i="2"/>
  <c r="B98" i="2" l="1"/>
  <c r="N81" i="4"/>
  <c r="O81" i="4" s="1"/>
  <c r="P81" i="4" s="1"/>
  <c r="K9" i="3" s="1"/>
  <c r="N76" i="2"/>
  <c r="N74" i="4"/>
  <c r="N77" i="4" s="1"/>
  <c r="O68" i="4"/>
  <c r="M100" i="4"/>
  <c r="M95" i="2"/>
  <c r="C93" i="2"/>
  <c r="B109" i="2"/>
  <c r="O76" i="4"/>
  <c r="P76" i="4" s="1"/>
  <c r="K7" i="3" s="1"/>
  <c r="C82" i="4"/>
  <c r="C89" i="4"/>
  <c r="D51" i="5"/>
  <c r="E97" i="4" s="1"/>
  <c r="C98" i="2" l="1"/>
  <c r="C102" i="4"/>
  <c r="P68" i="4"/>
  <c r="K4" i="3" s="1"/>
  <c r="O77" i="4"/>
  <c r="N82" i="4"/>
  <c r="O82" i="4" s="1"/>
  <c r="D89" i="4"/>
  <c r="D95" i="4" s="1"/>
  <c r="D98" i="4" s="1"/>
  <c r="E51" i="5"/>
  <c r="F97" i="4" s="1"/>
  <c r="N100" i="4"/>
  <c r="O100" i="4" s="1"/>
  <c r="N95" i="2"/>
  <c r="C95" i="4"/>
  <c r="C98" i="4" s="1"/>
  <c r="C83" i="4"/>
  <c r="C84" i="4"/>
  <c r="D66" i="4" s="1"/>
  <c r="D84" i="4" s="1"/>
  <c r="E66" i="4" s="1"/>
  <c r="E84" i="4" s="1"/>
  <c r="F66" i="4" s="1"/>
  <c r="F84" i="4" s="1"/>
  <c r="G66" i="4" s="1"/>
  <c r="G84" i="4" s="1"/>
  <c r="H66" i="4" s="1"/>
  <c r="H84" i="4" s="1"/>
  <c r="I66" i="4" s="1"/>
  <c r="I84" i="4" s="1"/>
  <c r="J66" i="4" s="1"/>
  <c r="J84" i="4" s="1"/>
  <c r="K66" i="4" s="1"/>
  <c r="K84" i="4" s="1"/>
  <c r="L66" i="4" s="1"/>
  <c r="L84" i="4" s="1"/>
  <c r="M66" i="4" s="1"/>
  <c r="M84" i="4" s="1"/>
  <c r="N66" i="4" s="1"/>
  <c r="D93" i="2"/>
  <c r="C109" i="2"/>
  <c r="O74" i="4"/>
  <c r="D98" i="2" l="1"/>
  <c r="D102" i="4"/>
  <c r="K5" i="3"/>
  <c r="K6" i="3" s="1"/>
  <c r="N83" i="4"/>
  <c r="O83" i="4" s="1"/>
  <c r="N84" i="4"/>
  <c r="C87" i="4" s="1"/>
  <c r="D103" i="4"/>
  <c r="D104" i="4" s="1"/>
  <c r="E93" i="2"/>
  <c r="D109" i="2"/>
  <c r="E89" i="4"/>
  <c r="E95" i="4" s="1"/>
  <c r="E98" i="4" s="1"/>
  <c r="F51" i="5"/>
  <c r="G97" i="4" s="1"/>
  <c r="E98" i="2" l="1"/>
  <c r="E102" i="4"/>
  <c r="E103" i="4" s="1"/>
  <c r="E104" i="4" s="1"/>
  <c r="K8" i="3"/>
  <c r="K10" i="3" s="1"/>
  <c r="K12" i="3" s="1"/>
  <c r="K14" i="3" s="1"/>
  <c r="K15" i="3" s="1"/>
  <c r="P83" i="4"/>
  <c r="F93" i="2"/>
  <c r="E109" i="2"/>
  <c r="F89" i="4"/>
  <c r="F95" i="4" s="1"/>
  <c r="G51" i="5"/>
  <c r="H97" i="4" s="1"/>
  <c r="F98" i="2" l="1"/>
  <c r="F102" i="4"/>
  <c r="F98" i="4"/>
  <c r="F103" i="4" s="1"/>
  <c r="F104" i="4" s="1"/>
  <c r="G89" i="4"/>
  <c r="H51" i="5"/>
  <c r="I97" i="4" s="1"/>
  <c r="G93" i="2"/>
  <c r="F109" i="2"/>
  <c r="G98" i="2" l="1"/>
  <c r="G102" i="4"/>
  <c r="H89" i="4"/>
  <c r="H95" i="4" s="1"/>
  <c r="H98" i="4" s="1"/>
  <c r="I51" i="5"/>
  <c r="J97" i="4" s="1"/>
  <c r="G95" i="4"/>
  <c r="G98" i="4" s="1"/>
  <c r="H93" i="2"/>
  <c r="G109" i="2"/>
  <c r="H98" i="2" l="1"/>
  <c r="H102" i="4"/>
  <c r="H103" i="4"/>
  <c r="H104" i="4" s="1"/>
  <c r="G103" i="4"/>
  <c r="G104" i="4" s="1"/>
  <c r="I93" i="2"/>
  <c r="H109" i="2"/>
  <c r="I89" i="4"/>
  <c r="J51" i="5"/>
  <c r="K97" i="4" s="1"/>
  <c r="I98" i="2" l="1"/>
  <c r="I102" i="4"/>
  <c r="I95" i="4"/>
  <c r="J89" i="4"/>
  <c r="J95" i="4" s="1"/>
  <c r="J98" i="4" s="1"/>
  <c r="K51" i="5"/>
  <c r="L97" i="4" s="1"/>
  <c r="J93" i="2"/>
  <c r="I109" i="2"/>
  <c r="J98" i="2" l="1"/>
  <c r="J102" i="4"/>
  <c r="J103" i="4" s="1"/>
  <c r="J104" i="4" s="1"/>
  <c r="I98" i="4"/>
  <c r="I103" i="4" s="1"/>
  <c r="I104" i="4" s="1"/>
  <c r="K93" i="2"/>
  <c r="J109" i="2"/>
  <c r="K89" i="4"/>
  <c r="K95" i="4" s="1"/>
  <c r="K98" i="4" s="1"/>
  <c r="L51" i="5"/>
  <c r="M97" i="4" s="1"/>
  <c r="K98" i="2" l="1"/>
  <c r="L98" i="2" s="1"/>
  <c r="M98" i="2" s="1"/>
  <c r="N98" i="2" s="1"/>
  <c r="K102" i="4"/>
  <c r="O102" i="4" s="1"/>
  <c r="P102" i="4" s="1"/>
  <c r="N9" i="3" s="1"/>
  <c r="L89" i="4"/>
  <c r="L95" i="4" s="1"/>
  <c r="L98" i="4" s="1"/>
  <c r="M51" i="5"/>
  <c r="N97" i="4" s="1"/>
  <c r="L93" i="2"/>
  <c r="K109" i="2"/>
  <c r="K103" i="4" l="1"/>
  <c r="K104" i="4" s="1"/>
  <c r="L103" i="4"/>
  <c r="L104" i="4" s="1"/>
  <c r="M89" i="4"/>
  <c r="M95" i="4" s="1"/>
  <c r="N51" i="5"/>
  <c r="M93" i="2"/>
  <c r="L109" i="2"/>
  <c r="M98" i="4" l="1"/>
  <c r="M103" i="4" s="1"/>
  <c r="M104" i="4" s="1"/>
  <c r="N89" i="4"/>
  <c r="O51" i="5"/>
  <c r="M109" i="2"/>
  <c r="N109" i="2" s="1"/>
  <c r="N93" i="2"/>
  <c r="N95" i="4" l="1"/>
  <c r="N98" i="4" s="1"/>
  <c r="O89" i="4"/>
  <c r="P89" i="4" s="1"/>
  <c r="N4" i="3" s="1"/>
  <c r="C103" i="4"/>
  <c r="O97" i="4"/>
  <c r="P97" i="4" s="1"/>
  <c r="N7" i="3" s="1"/>
  <c r="O98" i="4" l="1"/>
  <c r="N103" i="4"/>
  <c r="O103" i="4" s="1"/>
  <c r="C104" i="4"/>
  <c r="C105" i="4"/>
  <c r="D87" i="4" s="1"/>
  <c r="D105" i="4" s="1"/>
  <c r="E87" i="4" s="1"/>
  <c r="E105" i="4" s="1"/>
  <c r="F87" i="4" s="1"/>
  <c r="F105" i="4" s="1"/>
  <c r="G87" i="4" s="1"/>
  <c r="G105" i="4" s="1"/>
  <c r="H87" i="4" s="1"/>
  <c r="H105" i="4" s="1"/>
  <c r="I87" i="4" s="1"/>
  <c r="I105" i="4" s="1"/>
  <c r="J87" i="4" s="1"/>
  <c r="J105" i="4" s="1"/>
  <c r="K87" i="4" s="1"/>
  <c r="K105" i="4" s="1"/>
  <c r="L87" i="4" s="1"/>
  <c r="L105" i="4" s="1"/>
  <c r="M87" i="4" s="1"/>
  <c r="M105" i="4" s="1"/>
  <c r="N87" i="4" s="1"/>
  <c r="O95" i="4"/>
  <c r="N5" i="3" l="1"/>
  <c r="N6" i="3" s="1"/>
  <c r="N8" i="3" s="1"/>
  <c r="N10" i="3" s="1"/>
  <c r="N12" i="3" s="1"/>
  <c r="N14" i="3" s="1"/>
  <c r="N15" i="3" s="1"/>
  <c r="N104" i="4"/>
  <c r="O104" i="4" s="1"/>
  <c r="P104" i="4" s="1"/>
  <c r="N10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<sst xmlns="http://schemas.openxmlformats.org/spreadsheetml/2006/main" count="546" uniqueCount="165">
  <si>
    <t>Pró-labore dos sócios</t>
  </si>
  <si>
    <t>Aluguéis</t>
  </si>
  <si>
    <t>Energia Elétrica</t>
  </si>
  <si>
    <t>Telefone Fixo</t>
  </si>
  <si>
    <t>Telefone Celular</t>
  </si>
  <si>
    <t>Serviços Contabilidade</t>
  </si>
  <si>
    <t>Combustíveis</t>
  </si>
  <si>
    <t>Manutenção de Veículos</t>
  </si>
  <si>
    <t>Despesas diversas</t>
  </si>
  <si>
    <t>Férias</t>
  </si>
  <si>
    <t>13º salário</t>
  </si>
  <si>
    <t>Salários</t>
  </si>
  <si>
    <t>Encargos sobre salários</t>
  </si>
  <si>
    <t xml:space="preserve">Seguros </t>
  </si>
  <si>
    <t>Maquinas e equipamentos</t>
  </si>
  <si>
    <t>Moveis e utensílios</t>
  </si>
  <si>
    <t>Smartphones</t>
  </si>
  <si>
    <t xml:space="preserve">FLUXO DE CAIXA </t>
  </si>
  <si>
    <t xml:space="preserve">ENTRADAS </t>
  </si>
  <si>
    <t xml:space="preserve">Vendas a Vista </t>
  </si>
  <si>
    <t xml:space="preserve">  </t>
  </si>
  <si>
    <t>Aluguéis Recebidos</t>
  </si>
  <si>
    <t>Outras Entradas</t>
  </si>
  <si>
    <t xml:space="preserve">A – TOTAL DOS RECEBIMENTOS </t>
  </si>
  <si>
    <t xml:space="preserve">SAÍDAS </t>
  </si>
  <si>
    <t>Tributos</t>
  </si>
  <si>
    <t>Outras Saídas</t>
  </si>
  <si>
    <t xml:space="preserve">B – TOTAL DOS PAGAMENTOS </t>
  </si>
  <si>
    <t xml:space="preserve">C - SALDO ANTERIOR </t>
  </si>
  <si>
    <t>SALDO ACUMULADO  (A-B+C)</t>
  </si>
  <si>
    <t>Total</t>
  </si>
  <si>
    <t>TOTAL no ANO</t>
  </si>
  <si>
    <t>SALDO DA MÊS (A-B)</t>
  </si>
  <si>
    <t>Vendas  liquidas=</t>
  </si>
  <si>
    <t>Custo Variável Total=</t>
  </si>
  <si>
    <t>Despesa Operacional=</t>
  </si>
  <si>
    <t>Lucro liquido</t>
  </si>
  <si>
    <t>VALOR</t>
  </si>
  <si>
    <t>Vendas  Brutas</t>
  </si>
  <si>
    <t>Deduções de Vendas</t>
  </si>
  <si>
    <t>impostos</t>
  </si>
  <si>
    <t>DESCRIÇÃO</t>
  </si>
  <si>
    <t>Total de  Capital de Giro</t>
  </si>
  <si>
    <t>Total em Ativos operacionais</t>
  </si>
  <si>
    <t>Capital de giro</t>
  </si>
  <si>
    <t xml:space="preserve">INVESTIMENTO TOTAL </t>
  </si>
  <si>
    <t>Preço de venda   unitário</t>
  </si>
  <si>
    <t>Custo Variável unitário</t>
  </si>
  <si>
    <t xml:space="preserve">Margem de contribuição </t>
  </si>
  <si>
    <t>ROI</t>
  </si>
  <si>
    <t>Produto / Qtde</t>
  </si>
  <si>
    <t>Vendas a Prazo</t>
  </si>
  <si>
    <t>Compras à vista</t>
  </si>
  <si>
    <t>Compras à prazo</t>
  </si>
  <si>
    <t>Vendas à Vista</t>
  </si>
  <si>
    <t>Vendas à Prazo</t>
  </si>
  <si>
    <t>As compras são para 30 dias</t>
  </si>
  <si>
    <t>Aluguel</t>
  </si>
  <si>
    <t>TOTAL no ANO DRE</t>
  </si>
  <si>
    <t>Valor necessário até que a empresa atinja o PEC</t>
  </si>
  <si>
    <t>Margem de Contribuição   (LOB)=</t>
  </si>
  <si>
    <t>Lucro Operacional  Líquido=</t>
  </si>
  <si>
    <t>Resultado Não Operacional</t>
  </si>
  <si>
    <t>Lucro antes dos impostos (LAI)=</t>
  </si>
  <si>
    <t>Venda ponderada  %</t>
  </si>
  <si>
    <t>inflação do ano anterior</t>
  </si>
  <si>
    <t>índice</t>
  </si>
  <si>
    <t xml:space="preserve">Itens </t>
  </si>
  <si>
    <t>Quantidade</t>
  </si>
  <si>
    <t xml:space="preserve">Valor </t>
  </si>
  <si>
    <t>Total/ Produto</t>
  </si>
  <si>
    <t>Link Produto</t>
  </si>
  <si>
    <t>Computador</t>
  </si>
  <si>
    <t>Notebook IdeaPad 3i | Intel Core i5, i7 | Windows 10 Home | Tela 15.6" Antirreflexo | 8GB de memória | 256GB SSD de armazenamento | Intel UHD Graphics integrada ou NVIDIA GeForce MX330 | Lenovo Brasil</t>
  </si>
  <si>
    <t>Mesas</t>
  </si>
  <si>
    <t>Mesa de Escritório Politorno Espanha com 2 Portas e 3 gavetas | Casas Bahia</t>
  </si>
  <si>
    <t xml:space="preserve">Cadeiras </t>
  </si>
  <si>
    <t>Cadeira de Escritório Cosco Home Niagara Giratória com Regulagem de Altura - Preto | Casas Bahia</t>
  </si>
  <si>
    <t xml:space="preserve">Poltronas </t>
  </si>
  <si>
    <t>https://www.casasbahia.com.br/cadeira-de-escritorio-cosco-home-niagara-giratoria-com-regulagem-de-altura-preto/p/55015697</t>
  </si>
  <si>
    <t xml:space="preserve">Celulares </t>
  </si>
  <si>
    <t>Smartphone Motorola Moto G10 Cinza Aurora 64GB, 4GB Ram, Tela de 6.5”, Câmera Traseira Quádrupla, Android 11 e Processador Qualcomm 460 Octa-Core | Casas Bahia</t>
  </si>
  <si>
    <t>Impressora</t>
  </si>
  <si>
    <t>Multifuncional Tanque de Tinta Canon Mega Tank G4110 Wireless - Impressora, Copiadora, Scanner e Fax | Ponto (pontofrio.com.br)</t>
  </si>
  <si>
    <t>Telefone</t>
  </si>
  <si>
    <t>Telefone com Fio Intelbras TC 60 ID com Identificação de Chamadas e Viva-Voz - Preto | Casas Bahia</t>
  </si>
  <si>
    <t>moveis</t>
  </si>
  <si>
    <t>equipamentos</t>
  </si>
  <si>
    <t>Internet</t>
  </si>
  <si>
    <t>Curso</t>
  </si>
  <si>
    <t>Preço Curso</t>
  </si>
  <si>
    <t>Custo do Curso</t>
  </si>
  <si>
    <t>Material de Informatica</t>
  </si>
  <si>
    <t>Salarios e encargos</t>
  </si>
  <si>
    <t>Salários e encargos</t>
  </si>
  <si>
    <t>Licenças/Plataformas</t>
  </si>
  <si>
    <t>Pró-Labore dos sócios</t>
  </si>
  <si>
    <t>anos</t>
  </si>
  <si>
    <t>meses</t>
  </si>
  <si>
    <t>dias</t>
  </si>
  <si>
    <t>DEMONSTRATIVO DO RESULTADO DO EXERCÍCIOS:</t>
  </si>
  <si>
    <t>PAYBACK EFETIVO:</t>
  </si>
  <si>
    <t>MÊS 1</t>
  </si>
  <si>
    <t>MÊS 2</t>
  </si>
  <si>
    <t>MÊS 3</t>
  </si>
  <si>
    <t>MÊS 4</t>
  </si>
  <si>
    <t>MÊS 5</t>
  </si>
  <si>
    <t>MÊS 6</t>
  </si>
  <si>
    <t>MÊS 7</t>
  </si>
  <si>
    <t>MÊS 8</t>
  </si>
  <si>
    <t>MÊS 9</t>
  </si>
  <si>
    <t>MÊS 10</t>
  </si>
  <si>
    <t>MÊS 11</t>
  </si>
  <si>
    <t>MÊS 12</t>
  </si>
  <si>
    <t>MÊS 13</t>
  </si>
  <si>
    <t>MÊS 14</t>
  </si>
  <si>
    <t>MÊS 15</t>
  </si>
  <si>
    <t>MÊS 16</t>
  </si>
  <si>
    <t>MÊS 17</t>
  </si>
  <si>
    <t>MÊS 18</t>
  </si>
  <si>
    <t>MÊS 19</t>
  </si>
  <si>
    <t>MÊS 20</t>
  </si>
  <si>
    <t>MÊS 21</t>
  </si>
  <si>
    <t>MÊS 22</t>
  </si>
  <si>
    <t>MÊS 23</t>
  </si>
  <si>
    <t>MÊS 24</t>
  </si>
  <si>
    <t>MÊS 25</t>
  </si>
  <si>
    <t>MÊS 26</t>
  </si>
  <si>
    <t>MÊS 27</t>
  </si>
  <si>
    <t>MÊS 28</t>
  </si>
  <si>
    <t>MÊS 29</t>
  </si>
  <si>
    <t>MÊS 30</t>
  </si>
  <si>
    <t>MÊS 31</t>
  </si>
  <si>
    <t>MÊS 32</t>
  </si>
  <si>
    <t>MÊS 33</t>
  </si>
  <si>
    <t>MÊS 34</t>
  </si>
  <si>
    <t>MÊS 35</t>
  </si>
  <si>
    <t>MÊS 36</t>
  </si>
  <si>
    <t>MÊS 37</t>
  </si>
  <si>
    <t>MÊS 38</t>
  </si>
  <si>
    <t>MÊS 39</t>
  </si>
  <si>
    <t>MÊS 40</t>
  </si>
  <si>
    <t>MÊS 41</t>
  </si>
  <si>
    <t>MÊS 42</t>
  </si>
  <si>
    <t>MÊS 43</t>
  </si>
  <si>
    <t>MÊS 44</t>
  </si>
  <si>
    <t>MÊS 45</t>
  </si>
  <si>
    <t>MÊS 46</t>
  </si>
  <si>
    <t>MÊS 47</t>
  </si>
  <si>
    <t>MÊS 48</t>
  </si>
  <si>
    <t>MÊS 49</t>
  </si>
  <si>
    <t>MÊS 50</t>
  </si>
  <si>
    <t>MÊS 51</t>
  </si>
  <si>
    <t>MÊS 52</t>
  </si>
  <si>
    <t>MÊS 53</t>
  </si>
  <si>
    <t>MÊS 54</t>
  </si>
  <si>
    <t>MÊS 55</t>
  </si>
  <si>
    <t>MÊS 56</t>
  </si>
  <si>
    <t>MÊS 57</t>
  </si>
  <si>
    <t>MÊS 58</t>
  </si>
  <si>
    <t>MÊS 59</t>
  </si>
  <si>
    <t>MÊS 60</t>
  </si>
  <si>
    <t>Ponto de Equilibrio</t>
  </si>
  <si>
    <t xml:space="preserve">MÊS 1 </t>
  </si>
  <si>
    <t xml:space="preserve">Margem de Contribuição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</si>
</sst>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* #,##0.00_);_(* \(#,##0.00\);_(* &quot;-&quot;??_);_(@_)"/>
    <numFmt numFmtId="165" formatCode="[$-416]mmm\-yy;@"/>
    <numFmt numFmtId="166" formatCode="_-* #,##0_-;\-* #,##0_-;_-* &quot;-&quot;??_-;_-@_-"/>
    <numFmt numFmtId="167" formatCode="&quot;R$&quot;\ #,##0.00"/>
  </numFmts>
  <fonts count="2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Arial"/>
      <family val="2"/>
    </font>
    <font>
      <sz val="12"/>
      <color theme="1"/>
      <name val="Arial Black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203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1" xfId="0" applyFont="1" applyBorder="1"/>
    <xf numFmtId="0" fontId="6" fillId="0" borderId="9" xfId="0" applyFont="1" applyBorder="1"/>
    <xf numFmtId="0" fontId="6" fillId="0" borderId="0" xfId="0" applyFont="1"/>
    <xf numFmtId="0" fontId="6" fillId="0" borderId="12" xfId="0" applyFont="1" applyBorder="1"/>
    <xf numFmtId="0" fontId="6" fillId="0" borderId="17" xfId="0" applyFont="1" applyBorder="1"/>
    <xf numFmtId="0" fontId="8" fillId="0" borderId="20" xfId="0" applyFont="1" applyBorder="1"/>
    <xf numFmtId="0" fontId="2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23" xfId="0" applyFont="1" applyBorder="1"/>
    <xf numFmtId="0" fontId="1" fillId="0" borderId="23" xfId="0" applyFont="1" applyBorder="1"/>
    <xf numFmtId="0" fontId="9" fillId="0" borderId="0" xfId="0" applyFont="1"/>
    <xf numFmtId="0" fontId="9" fillId="0" borderId="9" xfId="0" applyFont="1" applyBorder="1"/>
    <xf numFmtId="0" fontId="9" fillId="0" borderId="10" xfId="0" applyFont="1" applyBorder="1"/>
    <xf numFmtId="43" fontId="9" fillId="0" borderId="11" xfId="1" applyFont="1" applyBorder="1"/>
    <xf numFmtId="43" fontId="9" fillId="0" borderId="8" xfId="1" applyFont="1" applyBorder="1"/>
    <xf numFmtId="0" fontId="9" fillId="0" borderId="13" xfId="0" applyFont="1" applyBorder="1"/>
    <xf numFmtId="164" fontId="9" fillId="0" borderId="14" xfId="0" applyNumberFormat="1" applyFont="1" applyBorder="1"/>
    <xf numFmtId="164" fontId="1" fillId="3" borderId="8" xfId="0" applyNumberFormat="1" applyFont="1" applyFill="1" applyBorder="1"/>
    <xf numFmtId="0" fontId="9" fillId="0" borderId="15" xfId="0" applyFont="1" applyBorder="1"/>
    <xf numFmtId="164" fontId="9" fillId="0" borderId="16" xfId="0" applyNumberFormat="1" applyFont="1" applyBorder="1"/>
    <xf numFmtId="43" fontId="10" fillId="0" borderId="0" xfId="1" applyFont="1"/>
    <xf numFmtId="43" fontId="11" fillId="0" borderId="24" xfId="1" applyFont="1" applyBorder="1"/>
    <xf numFmtId="43" fontId="10" fillId="0" borderId="23" xfId="1" applyFont="1" applyBorder="1"/>
    <xf numFmtId="43" fontId="14" fillId="0" borderId="26" xfId="0" applyNumberFormat="1" applyFont="1" applyBorder="1"/>
    <xf numFmtId="0" fontId="14" fillId="0" borderId="25" xfId="0" applyFont="1" applyBorder="1"/>
    <xf numFmtId="43" fontId="0" fillId="0" borderId="0" xfId="1" applyFont="1"/>
    <xf numFmtId="10" fontId="0" fillId="0" borderId="0" xfId="2" applyNumberFormat="1" applyFont="1"/>
    <xf numFmtId="0" fontId="9" fillId="0" borderId="0" xfId="0" applyFont="1" applyBorder="1"/>
    <xf numFmtId="0" fontId="9" fillId="0" borderId="8" xfId="0" applyFont="1" applyBorder="1"/>
    <xf numFmtId="0" fontId="6" fillId="0" borderId="1" xfId="0" applyFont="1" applyFill="1" applyBorder="1"/>
    <xf numFmtId="43" fontId="6" fillId="0" borderId="1" xfId="1" applyFont="1" applyBorder="1"/>
    <xf numFmtId="43" fontId="0" fillId="0" borderId="1" xfId="1" applyFont="1" applyBorder="1"/>
    <xf numFmtId="0" fontId="8" fillId="0" borderId="0" xfId="0" applyFont="1" applyBorder="1"/>
    <xf numFmtId="43" fontId="0" fillId="0" borderId="24" xfId="1" applyFont="1" applyBorder="1"/>
    <xf numFmtId="0" fontId="0" fillId="0" borderId="0" xfId="0" applyAlignment="1">
      <alignment vertical="center"/>
    </xf>
    <xf numFmtId="0" fontId="0" fillId="0" borderId="0" xfId="0" applyFill="1"/>
    <xf numFmtId="0" fontId="15" fillId="0" borderId="0" xfId="0" applyFont="1"/>
    <xf numFmtId="43" fontId="15" fillId="0" borderId="0" xfId="1" applyFont="1"/>
    <xf numFmtId="43" fontId="15" fillId="0" borderId="0" xfId="0" applyNumberFormat="1" applyFont="1"/>
    <xf numFmtId="43" fontId="8" fillId="0" borderId="18" xfId="1" applyFont="1" applyBorder="1"/>
    <xf numFmtId="43" fontId="6" fillId="0" borderId="1" xfId="0" applyNumberFormat="1" applyFont="1" applyBorder="1"/>
    <xf numFmtId="9" fontId="0" fillId="0" borderId="0" xfId="2" applyFont="1"/>
    <xf numFmtId="166" fontId="15" fillId="0" borderId="0" xfId="0" applyNumberFormat="1" applyFont="1"/>
    <xf numFmtId="0" fontId="16" fillId="2" borderId="0" xfId="0" applyFont="1" applyFill="1" applyAlignment="1">
      <alignment horizontal="center"/>
    </xf>
    <xf numFmtId="167" fontId="6" fillId="0" borderId="1" xfId="0" applyNumberFormat="1" applyFont="1" applyBorder="1"/>
    <xf numFmtId="0" fontId="17" fillId="0" borderId="1" xfId="3" applyBorder="1"/>
    <xf numFmtId="0" fontId="17" fillId="0" borderId="0" xfId="3"/>
    <xf numFmtId="0" fontId="0" fillId="0" borderId="1" xfId="0" applyBorder="1"/>
    <xf numFmtId="0" fontId="0" fillId="2" borderId="1" xfId="0" applyFill="1" applyBorder="1"/>
    <xf numFmtId="167" fontId="0" fillId="2" borderId="1" xfId="0" applyNumberFormat="1" applyFill="1" applyBorder="1"/>
    <xf numFmtId="167" fontId="0" fillId="0" borderId="1" xfId="0" applyNumberFormat="1" applyBorder="1"/>
    <xf numFmtId="167" fontId="0" fillId="0" borderId="0" xfId="0" applyNumberFormat="1"/>
    <xf numFmtId="0" fontId="6" fillId="2" borderId="1" xfId="0" applyFont="1" applyFill="1" applyBorder="1"/>
    <xf numFmtId="44" fontId="6" fillId="0" borderId="1" xfId="0" applyNumberFormat="1" applyFont="1" applyBorder="1"/>
    <xf numFmtId="44" fontId="6" fillId="0" borderId="1" xfId="1" applyNumberFormat="1" applyFont="1" applyBorder="1"/>
    <xf numFmtId="44" fontId="8" fillId="0" borderId="18" xfId="4" applyFont="1" applyBorder="1"/>
    <xf numFmtId="44" fontId="6" fillId="0" borderId="1" xfId="4" applyFont="1" applyBorder="1"/>
    <xf numFmtId="0" fontId="8" fillId="0" borderId="6" xfId="0" applyFont="1" applyBorder="1"/>
    <xf numFmtId="44" fontId="6" fillId="3" borderId="1" xfId="0" applyNumberFormat="1" applyFont="1" applyFill="1" applyBorder="1"/>
    <xf numFmtId="44" fontId="6" fillId="3" borderId="1" xfId="1" quotePrefix="1" applyNumberFormat="1" applyFont="1" applyFill="1" applyBorder="1"/>
    <xf numFmtId="44" fontId="6" fillId="3" borderId="1" xfId="1" applyNumberFormat="1" applyFont="1" applyFill="1" applyBorder="1"/>
    <xf numFmtId="0" fontId="6" fillId="3" borderId="1" xfId="0" applyFont="1" applyFill="1" applyBorder="1"/>
    <xf numFmtId="44" fontId="6" fillId="0" borderId="17" xfId="4" applyFont="1" applyBorder="1"/>
    <xf numFmtId="0" fontId="15" fillId="0" borderId="0" xfId="0" applyFont="1" applyAlignment="1">
      <alignment horizontal="center"/>
    </xf>
    <xf numFmtId="0" fontId="0" fillId="3" borderId="0" xfId="0" applyFill="1"/>
    <xf numFmtId="0" fontId="6" fillId="3" borderId="17" xfId="0" applyFont="1" applyFill="1" applyBorder="1"/>
    <xf numFmtId="43" fontId="6" fillId="3" borderId="1" xfId="1" applyFont="1" applyFill="1" applyBorder="1"/>
    <xf numFmtId="43" fontId="0" fillId="3" borderId="1" xfId="1" applyFont="1" applyFill="1" applyBorder="1"/>
    <xf numFmtId="0" fontId="4" fillId="4" borderId="0" xfId="0" applyFont="1" applyFill="1" applyAlignment="1">
      <alignment horizontal="centerContinuous" wrapText="1"/>
    </xf>
    <xf numFmtId="0" fontId="5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Continuous" vertical="top" wrapText="1"/>
    </xf>
    <xf numFmtId="0" fontId="0" fillId="4" borderId="0" xfId="0" applyFill="1"/>
    <xf numFmtId="0" fontId="5" fillId="4" borderId="18" xfId="0" applyFont="1" applyFill="1" applyBorder="1" applyAlignment="1">
      <alignment vertical="top" wrapText="1"/>
    </xf>
    <xf numFmtId="43" fontId="5" fillId="4" borderId="19" xfId="1" applyFont="1" applyFill="1" applyBorder="1" applyAlignment="1">
      <alignment horizontal="right" wrapText="1"/>
    </xf>
    <xf numFmtId="4" fontId="7" fillId="4" borderId="0" xfId="0" applyNumberFormat="1" applyFont="1" applyFill="1"/>
    <xf numFmtId="17" fontId="5" fillId="4" borderId="0" xfId="0" applyNumberFormat="1" applyFont="1" applyFill="1" applyBorder="1" applyAlignment="1">
      <alignment horizontal="center" vertical="top" wrapText="1"/>
    </xf>
    <xf numFmtId="165" fontId="5" fillId="4" borderId="0" xfId="0" applyNumberFormat="1" applyFont="1" applyFill="1" applyBorder="1" applyAlignment="1">
      <alignment horizontal="center" vertical="top" wrapText="1"/>
    </xf>
    <xf numFmtId="0" fontId="5" fillId="4" borderId="0" xfId="0" applyFont="1" applyFill="1" applyAlignment="1">
      <alignment vertical="top" wrapText="1"/>
    </xf>
    <xf numFmtId="4" fontId="5" fillId="4" borderId="0" xfId="0" quotePrefix="1" applyNumberFormat="1" applyFont="1" applyFill="1" applyAlignment="1">
      <alignment horizontal="right" wrapText="1"/>
    </xf>
    <xf numFmtId="4" fontId="0" fillId="4" borderId="0" xfId="0" applyNumberFormat="1" applyFill="1"/>
    <xf numFmtId="0" fontId="5" fillId="4" borderId="0" xfId="0" applyFont="1" applyFill="1" applyAlignment="1">
      <alignment wrapText="1"/>
    </xf>
    <xf numFmtId="43" fontId="5" fillId="4" borderId="0" xfId="1" applyFont="1" applyFill="1" applyAlignment="1">
      <alignment horizontal="right" wrapText="1"/>
    </xf>
    <xf numFmtId="4" fontId="5" fillId="4" borderId="0" xfId="0" applyNumberFormat="1" applyFont="1" applyFill="1" applyAlignment="1">
      <alignment horizontal="right" wrapText="1"/>
    </xf>
    <xf numFmtId="43" fontId="5" fillId="4" borderId="0" xfId="1" applyFont="1" applyFill="1" applyAlignment="1">
      <alignment horizontal="right" vertical="top" wrapText="1"/>
    </xf>
    <xf numFmtId="0" fontId="5" fillId="4" borderId="3" xfId="0" applyFont="1" applyFill="1" applyBorder="1" applyAlignment="1">
      <alignment vertical="top" wrapText="1"/>
    </xf>
    <xf numFmtId="4" fontId="5" fillId="4" borderId="4" xfId="0" applyNumberFormat="1" applyFont="1" applyFill="1" applyBorder="1" applyAlignment="1">
      <alignment horizontal="right" wrapText="1"/>
    </xf>
    <xf numFmtId="4" fontId="7" fillId="4" borderId="9" xfId="0" applyNumberFormat="1" applyFont="1" applyFill="1" applyBorder="1"/>
    <xf numFmtId="43" fontId="5" fillId="4" borderId="0" xfId="1" quotePrefix="1" applyFont="1" applyFill="1" applyAlignment="1">
      <alignment horizontal="right" wrapText="1"/>
    </xf>
    <xf numFmtId="43" fontId="0" fillId="4" borderId="0" xfId="0" applyNumberFormat="1" applyFill="1"/>
    <xf numFmtId="0" fontId="5" fillId="4" borderId="3" xfId="0" applyFont="1" applyFill="1" applyBorder="1" applyAlignment="1">
      <alignment wrapText="1"/>
    </xf>
    <xf numFmtId="43" fontId="5" fillId="4" borderId="4" xfId="1" applyFont="1" applyFill="1" applyBorder="1" applyAlignment="1">
      <alignment horizontal="right" wrapText="1"/>
    </xf>
    <xf numFmtId="0" fontId="5" fillId="4" borderId="6" xfId="0" applyFont="1" applyFill="1" applyBorder="1" applyAlignment="1">
      <alignment wrapText="1"/>
    </xf>
    <xf numFmtId="43" fontId="5" fillId="4" borderId="7" xfId="1" applyFont="1" applyFill="1" applyBorder="1" applyAlignment="1">
      <alignment horizontal="right" wrapText="1"/>
    </xf>
    <xf numFmtId="0" fontId="4" fillId="5" borderId="0" xfId="0" applyFont="1" applyFill="1" applyAlignment="1">
      <alignment horizontal="centerContinuous" wrapText="1"/>
    </xf>
    <xf numFmtId="0" fontId="0" fillId="5" borderId="0" xfId="0" applyFill="1"/>
    <xf numFmtId="0" fontId="5" fillId="5" borderId="18" xfId="0" applyFont="1" applyFill="1" applyBorder="1" applyAlignment="1">
      <alignment vertical="top" wrapText="1"/>
    </xf>
    <xf numFmtId="43" fontId="5" fillId="5" borderId="19" xfId="1" applyFont="1" applyFill="1" applyBorder="1" applyAlignment="1">
      <alignment horizontal="right" wrapText="1"/>
    </xf>
    <xf numFmtId="4" fontId="7" fillId="5" borderId="0" xfId="0" applyNumberFormat="1" applyFont="1" applyFill="1"/>
    <xf numFmtId="17" fontId="5" fillId="5" borderId="0" xfId="0" applyNumberFormat="1" applyFont="1" applyFill="1" applyBorder="1" applyAlignment="1">
      <alignment horizontal="center" vertical="top" wrapText="1"/>
    </xf>
    <xf numFmtId="165" fontId="5" fillId="5" borderId="0" xfId="0" applyNumberFormat="1" applyFont="1" applyFill="1" applyBorder="1" applyAlignment="1">
      <alignment horizontal="center" vertical="top" wrapText="1"/>
    </xf>
    <xf numFmtId="0" fontId="5" fillId="5" borderId="0" xfId="0" applyFont="1" applyFill="1" applyAlignment="1">
      <alignment vertical="top" wrapText="1"/>
    </xf>
    <xf numFmtId="0" fontId="5" fillId="5" borderId="0" xfId="0" applyFont="1" applyFill="1" applyAlignment="1">
      <alignment wrapText="1"/>
    </xf>
    <xf numFmtId="43" fontId="5" fillId="5" borderId="0" xfId="1" applyFont="1" applyFill="1" applyAlignment="1">
      <alignment horizontal="right" wrapText="1"/>
    </xf>
    <xf numFmtId="4" fontId="5" fillId="5" borderId="0" xfId="0" applyNumberFormat="1" applyFont="1" applyFill="1" applyAlignment="1">
      <alignment horizontal="right" wrapText="1"/>
    </xf>
    <xf numFmtId="43" fontId="5" fillId="5" borderId="0" xfId="1" applyFont="1" applyFill="1" applyAlignment="1">
      <alignment horizontal="right" vertical="top" wrapText="1"/>
    </xf>
    <xf numFmtId="0" fontId="5" fillId="5" borderId="3" xfId="0" applyFont="1" applyFill="1" applyBorder="1" applyAlignment="1">
      <alignment vertical="top" wrapText="1"/>
    </xf>
    <xf numFmtId="4" fontId="5" fillId="5" borderId="4" xfId="0" applyNumberFormat="1" applyFont="1" applyFill="1" applyBorder="1" applyAlignment="1">
      <alignment horizontal="right" wrapText="1"/>
    </xf>
    <xf numFmtId="4" fontId="7" fillId="5" borderId="9" xfId="0" applyNumberFormat="1" applyFont="1" applyFill="1" applyBorder="1"/>
    <xf numFmtId="0" fontId="5" fillId="5" borderId="3" xfId="0" applyFont="1" applyFill="1" applyBorder="1" applyAlignment="1">
      <alignment wrapText="1"/>
    </xf>
    <xf numFmtId="43" fontId="5" fillId="5" borderId="4" xfId="1" applyFont="1" applyFill="1" applyBorder="1" applyAlignment="1">
      <alignment horizontal="right" wrapText="1"/>
    </xf>
    <xf numFmtId="0" fontId="5" fillId="5" borderId="6" xfId="0" applyFont="1" applyFill="1" applyBorder="1" applyAlignment="1">
      <alignment wrapText="1"/>
    </xf>
    <xf numFmtId="43" fontId="5" fillId="5" borderId="7" xfId="1" applyFont="1" applyFill="1" applyBorder="1" applyAlignment="1">
      <alignment horizontal="right" wrapText="1"/>
    </xf>
    <xf numFmtId="0" fontId="4" fillId="6" borderId="0" xfId="0" applyFont="1" applyFill="1" applyAlignment="1">
      <alignment horizontal="centerContinuous" wrapText="1"/>
    </xf>
    <xf numFmtId="0" fontId="0" fillId="6" borderId="0" xfId="0" applyFill="1"/>
    <xf numFmtId="0" fontId="5" fillId="6" borderId="18" xfId="0" applyFont="1" applyFill="1" applyBorder="1" applyAlignment="1">
      <alignment vertical="top" wrapText="1"/>
    </xf>
    <xf numFmtId="43" fontId="5" fillId="6" borderId="19" xfId="1" applyFont="1" applyFill="1" applyBorder="1" applyAlignment="1">
      <alignment horizontal="right" wrapText="1"/>
    </xf>
    <xf numFmtId="4" fontId="7" fillId="6" borderId="0" xfId="0" applyNumberFormat="1" applyFont="1" applyFill="1"/>
    <xf numFmtId="17" fontId="5" fillId="6" borderId="0" xfId="0" applyNumberFormat="1" applyFont="1" applyFill="1" applyBorder="1" applyAlignment="1">
      <alignment horizontal="center" vertical="top" wrapText="1"/>
    </xf>
    <xf numFmtId="165" fontId="5" fillId="6" borderId="0" xfId="0" applyNumberFormat="1" applyFont="1" applyFill="1" applyBorder="1" applyAlignment="1">
      <alignment horizontal="center" vertical="top" wrapText="1"/>
    </xf>
    <xf numFmtId="0" fontId="5" fillId="6" borderId="0" xfId="0" applyFont="1" applyFill="1" applyAlignment="1">
      <alignment vertical="top" wrapText="1"/>
    </xf>
    <xf numFmtId="4" fontId="5" fillId="6" borderId="0" xfId="0" quotePrefix="1" applyNumberFormat="1" applyFont="1" applyFill="1" applyAlignment="1">
      <alignment horizontal="right" wrapText="1"/>
    </xf>
    <xf numFmtId="43" fontId="5" fillId="6" borderId="0" xfId="1" applyFont="1" applyFill="1" applyAlignment="1">
      <alignment horizontal="right" wrapText="1"/>
    </xf>
    <xf numFmtId="43" fontId="0" fillId="6" borderId="0" xfId="1" applyFont="1" applyFill="1"/>
    <xf numFmtId="0" fontId="5" fillId="6" borderId="0" xfId="0" applyFont="1" applyFill="1" applyAlignment="1">
      <alignment wrapText="1"/>
    </xf>
    <xf numFmtId="4" fontId="5" fillId="6" borderId="0" xfId="0" applyNumberFormat="1" applyFont="1" applyFill="1" applyAlignment="1">
      <alignment horizontal="right" wrapText="1"/>
    </xf>
    <xf numFmtId="4" fontId="0" fillId="6" borderId="0" xfId="0" applyNumberFormat="1" applyFill="1"/>
    <xf numFmtId="43" fontId="5" fillId="6" borderId="0" xfId="1" applyFont="1" applyFill="1" applyAlignment="1">
      <alignment horizontal="right" vertical="top" wrapText="1"/>
    </xf>
    <xf numFmtId="0" fontId="5" fillId="6" borderId="3" xfId="0" applyFont="1" applyFill="1" applyBorder="1" applyAlignment="1">
      <alignment vertical="top" wrapText="1"/>
    </xf>
    <xf numFmtId="4" fontId="5" fillId="6" borderId="4" xfId="0" applyNumberFormat="1" applyFont="1" applyFill="1" applyBorder="1" applyAlignment="1">
      <alignment horizontal="right" wrapText="1"/>
    </xf>
    <xf numFmtId="4" fontId="7" fillId="6" borderId="9" xfId="0" applyNumberFormat="1" applyFont="1" applyFill="1" applyBorder="1"/>
    <xf numFmtId="43" fontId="5" fillId="6" borderId="0" xfId="1" quotePrefix="1" applyFont="1" applyFill="1" applyAlignment="1">
      <alignment horizontal="right" wrapText="1"/>
    </xf>
    <xf numFmtId="0" fontId="5" fillId="6" borderId="3" xfId="0" applyFont="1" applyFill="1" applyBorder="1" applyAlignment="1">
      <alignment wrapText="1"/>
    </xf>
    <xf numFmtId="43" fontId="5" fillId="6" borderId="4" xfId="1" applyFont="1" applyFill="1" applyBorder="1" applyAlignment="1">
      <alignment horizontal="right" wrapText="1"/>
    </xf>
    <xf numFmtId="0" fontId="5" fillId="6" borderId="6" xfId="0" applyFont="1" applyFill="1" applyBorder="1" applyAlignment="1">
      <alignment wrapText="1"/>
    </xf>
    <xf numFmtId="43" fontId="5" fillId="6" borderId="7" xfId="1" applyFont="1" applyFill="1" applyBorder="1" applyAlignment="1">
      <alignment horizontal="right" wrapText="1"/>
    </xf>
    <xf numFmtId="0" fontId="18" fillId="6" borderId="0" xfId="0" applyFont="1" applyFill="1"/>
    <xf numFmtId="44" fontId="6" fillId="3" borderId="1" xfId="4" applyFont="1" applyFill="1" applyBorder="1"/>
    <xf numFmtId="44" fontId="0" fillId="0" borderId="0" xfId="4" applyFont="1"/>
    <xf numFmtId="44" fontId="6" fillId="0" borderId="1" xfId="4" quotePrefix="1" applyFont="1" applyBorder="1"/>
    <xf numFmtId="43" fontId="0" fillId="3" borderId="0" xfId="0" applyNumberFormat="1" applyFill="1"/>
    <xf numFmtId="43" fontId="0" fillId="0" borderId="0" xfId="0" applyNumberFormat="1"/>
    <xf numFmtId="0" fontId="1" fillId="0" borderId="0" xfId="0" applyFont="1" applyAlignment="1"/>
    <xf numFmtId="0" fontId="13" fillId="7" borderId="0" xfId="0" applyFont="1" applyFill="1"/>
    <xf numFmtId="10" fontId="9" fillId="7" borderId="0" xfId="2" applyNumberFormat="1" applyFont="1" applyFill="1"/>
    <xf numFmtId="0" fontId="12" fillId="3" borderId="0" xfId="0" applyFont="1" applyFill="1" applyBorder="1"/>
    <xf numFmtId="0" fontId="0" fillId="0" borderId="0" xfId="0" applyBorder="1"/>
    <xf numFmtId="0" fontId="0" fillId="3" borderId="0" xfId="0" applyFill="1" applyBorder="1"/>
    <xf numFmtId="0" fontId="13" fillId="3" borderId="0" xfId="0" applyFont="1" applyFill="1" applyBorder="1"/>
    <xf numFmtId="43" fontId="0" fillId="3" borderId="0" xfId="0" applyNumberFormat="1" applyFill="1" applyBorder="1"/>
    <xf numFmtId="0" fontId="1" fillId="3" borderId="0" xfId="0" applyFont="1" applyFill="1" applyBorder="1"/>
    <xf numFmtId="0" fontId="8" fillId="3" borderId="0" xfId="0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>
      <alignment horizontal="center"/>
    </xf>
    <xf numFmtId="43" fontId="9" fillId="3" borderId="0" xfId="1" applyFont="1" applyFill="1" applyBorder="1"/>
    <xf numFmtId="164" fontId="9" fillId="3" borderId="0" xfId="0" applyNumberFormat="1" applyFont="1" applyFill="1" applyBorder="1"/>
    <xf numFmtId="164" fontId="1" fillId="3" borderId="0" xfId="0" applyNumberFormat="1" applyFont="1" applyFill="1" applyBorder="1"/>
    <xf numFmtId="4" fontId="0" fillId="3" borderId="0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17" fontId="4" fillId="4" borderId="17" xfId="0" applyNumberFormat="1" applyFont="1" applyFill="1" applyBorder="1" applyAlignment="1">
      <alignment horizontal="center" vertical="top" wrapText="1"/>
    </xf>
    <xf numFmtId="17" fontId="4" fillId="6" borderId="17" xfId="0" applyNumberFormat="1" applyFont="1" applyFill="1" applyBorder="1" applyAlignment="1">
      <alignment horizontal="center" vertical="top" wrapText="1"/>
    </xf>
    <xf numFmtId="17" fontId="4" fillId="5" borderId="17" xfId="0" applyNumberFormat="1" applyFont="1" applyFill="1" applyBorder="1" applyAlignment="1">
      <alignment horizontal="center" vertical="top" wrapText="1"/>
    </xf>
    <xf numFmtId="17" fontId="20" fillId="3" borderId="17" xfId="0" applyNumberFormat="1" applyFont="1" applyFill="1" applyBorder="1" applyAlignment="1">
      <alignment horizontal="center" vertical="top" wrapText="1"/>
    </xf>
    <xf numFmtId="0" fontId="15" fillId="0" borderId="1" xfId="0" applyFont="1" applyBorder="1"/>
    <xf numFmtId="43" fontId="15" fillId="0" borderId="1" xfId="0" applyNumberFormat="1" applyFont="1" applyBorder="1"/>
    <xf numFmtId="17" fontId="20" fillId="0" borderId="17" xfId="0" applyNumberFormat="1" applyFont="1" applyBorder="1" applyAlignment="1">
      <alignment horizontal="center" vertical="top" wrapText="1"/>
    </xf>
    <xf numFmtId="17" fontId="20" fillId="0" borderId="1" xfId="0" applyNumberFormat="1" applyFont="1" applyBorder="1" applyAlignment="1">
      <alignment horizontal="center" vertical="top" wrapText="1"/>
    </xf>
    <xf numFmtId="44" fontId="8" fillId="0" borderId="1" xfId="4" applyFont="1" applyBorder="1"/>
    <xf numFmtId="0" fontId="8" fillId="0" borderId="1" xfId="0" applyFont="1" applyBorder="1"/>
    <xf numFmtId="43" fontId="8" fillId="0" borderId="1" xfId="1" applyFont="1" applyBorder="1"/>
    <xf numFmtId="44" fontId="15" fillId="0" borderId="1" xfId="4" applyFont="1" applyBorder="1"/>
    <xf numFmtId="0" fontId="4" fillId="6" borderId="5" xfId="0" applyFont="1" applyFill="1" applyBorder="1" applyAlignment="1">
      <alignment horizontal="center" vertical="center" textRotation="255" wrapText="1"/>
    </xf>
    <xf numFmtId="0" fontId="4" fillId="6" borderId="0" xfId="0" applyFont="1" applyFill="1" applyBorder="1" applyAlignment="1">
      <alignment horizontal="center" vertical="center" textRotation="255" wrapText="1"/>
    </xf>
    <xf numFmtId="0" fontId="4" fillId="6" borderId="2" xfId="0" applyFont="1" applyFill="1" applyBorder="1" applyAlignment="1">
      <alignment horizontal="center" vertical="center" textRotation="255" wrapText="1"/>
    </xf>
    <xf numFmtId="0" fontId="4" fillId="6" borderId="0" xfId="0" applyNumberFormat="1" applyFont="1" applyFill="1" applyBorder="1" applyAlignment="1">
      <alignment horizontal="center" vertical="center" textRotation="255" wrapText="1"/>
    </xf>
    <xf numFmtId="0" fontId="4" fillId="6" borderId="2" xfId="0" applyNumberFormat="1" applyFont="1" applyFill="1" applyBorder="1" applyAlignment="1">
      <alignment horizontal="center" vertical="center" textRotation="255" wrapText="1"/>
    </xf>
    <xf numFmtId="0" fontId="4" fillId="5" borderId="0" xfId="0" applyFont="1" applyFill="1" applyBorder="1" applyAlignment="1">
      <alignment horizontal="center" vertical="center" textRotation="255"/>
    </xf>
    <xf numFmtId="0" fontId="4" fillId="5" borderId="2" xfId="0" applyFont="1" applyFill="1" applyBorder="1" applyAlignment="1">
      <alignment horizontal="center" vertical="center" textRotation="255"/>
    </xf>
    <xf numFmtId="0" fontId="4" fillId="5" borderId="5" xfId="0" applyFont="1" applyFill="1" applyBorder="1" applyAlignment="1">
      <alignment horizontal="center" vertical="center" textRotation="255" wrapText="1"/>
    </xf>
    <xf numFmtId="0" fontId="4" fillId="5" borderId="0" xfId="0" applyFont="1" applyFill="1" applyBorder="1" applyAlignment="1">
      <alignment horizontal="center" vertical="center" textRotation="255" wrapText="1"/>
    </xf>
    <xf numFmtId="0" fontId="4" fillId="5" borderId="2" xfId="0" applyFont="1" applyFill="1" applyBorder="1" applyAlignment="1">
      <alignment horizontal="center" vertical="center" textRotation="255" wrapText="1"/>
    </xf>
    <xf numFmtId="0" fontId="4" fillId="5" borderId="0" xfId="0" applyNumberFormat="1" applyFont="1" applyFill="1" applyBorder="1" applyAlignment="1">
      <alignment horizontal="center" vertical="center" textRotation="255" wrapText="1"/>
    </xf>
    <xf numFmtId="0" fontId="4" fillId="5" borderId="2" xfId="0" applyNumberFormat="1" applyFont="1" applyFill="1" applyBorder="1" applyAlignment="1">
      <alignment horizontal="center" vertical="center" textRotation="255" wrapText="1"/>
    </xf>
    <xf numFmtId="0" fontId="4" fillId="6" borderId="0" xfId="0" applyFont="1" applyFill="1" applyBorder="1" applyAlignment="1">
      <alignment horizontal="center" vertical="center" textRotation="255"/>
    </xf>
    <xf numFmtId="0" fontId="4" fillId="6" borderId="2" xfId="0" applyFont="1" applyFill="1" applyBorder="1" applyAlignment="1">
      <alignment horizontal="center" vertical="center" textRotation="255"/>
    </xf>
    <xf numFmtId="0" fontId="4" fillId="4" borderId="0" xfId="0" applyFont="1" applyFill="1" applyBorder="1" applyAlignment="1">
      <alignment horizontal="center" vertical="center" textRotation="255"/>
    </xf>
    <xf numFmtId="0" fontId="4" fillId="4" borderId="2" xfId="0" applyFont="1" applyFill="1" applyBorder="1" applyAlignment="1">
      <alignment horizontal="center" vertical="center" textRotation="255"/>
    </xf>
    <xf numFmtId="0" fontId="4" fillId="4" borderId="5" xfId="0" applyFont="1" applyFill="1" applyBorder="1" applyAlignment="1">
      <alignment horizontal="center" vertical="center" textRotation="255" wrapText="1"/>
    </xf>
    <xf numFmtId="0" fontId="4" fillId="4" borderId="0" xfId="0" applyFont="1" applyFill="1" applyBorder="1" applyAlignment="1">
      <alignment horizontal="center" vertical="center" textRotation="255" wrapText="1"/>
    </xf>
    <xf numFmtId="0" fontId="4" fillId="4" borderId="2" xfId="0" applyFont="1" applyFill="1" applyBorder="1" applyAlignment="1">
      <alignment horizontal="center" vertical="center" textRotation="255" wrapText="1"/>
    </xf>
    <xf numFmtId="0" fontId="4" fillId="4" borderId="0" xfId="0" applyNumberFormat="1" applyFont="1" applyFill="1" applyBorder="1" applyAlignment="1">
      <alignment horizontal="center" vertical="center" textRotation="255" wrapText="1"/>
    </xf>
    <xf numFmtId="0" fontId="4" fillId="4" borderId="2" xfId="0" applyNumberFormat="1" applyFont="1" applyFill="1" applyBorder="1" applyAlignment="1">
      <alignment horizontal="center" vertical="center" textRotation="255" wrapText="1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0" fontId="16" fillId="8" borderId="3" xfId="0" applyFont="1" applyFill="1" applyBorder="1" applyAlignment="1">
      <alignment horizontal="center"/>
    </xf>
    <xf numFmtId="0" fontId="16" fillId="8" borderId="27" xfId="0" applyFont="1" applyFill="1" applyBorder="1" applyAlignment="1">
      <alignment horizontal="center"/>
    </xf>
    <xf numFmtId="0" fontId="1" fillId="7" borderId="0" xfId="0" applyFont="1" applyFill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5">
    <cellStyle name="Hiperlink" xfId="3" builtinId="8"/>
    <cellStyle name="Moeda" xfId="4" builtinId="4"/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sasbahia.com.br/cadeira-de-escritorio-cosco-home-niagara-giratoria-com-regulagem-de-altura-preto/p/55015697" TargetMode="External"/><Relationship Id="rId2" Type="http://schemas.openxmlformats.org/officeDocument/2006/relationships/hyperlink" Target="https://www.casasbahia.com.br/Mesa-de-Escritorio-Politorno-Espanha-com-2-Portas-e-3-gavetas/p/239991" TargetMode="External"/><Relationship Id="rId1" Type="http://schemas.openxmlformats.org/officeDocument/2006/relationships/hyperlink" Target="https://www.lenovo.com/br/pt/laptops/ideapad/serie-300/IdeaPad-3i-15-inch-Intel/p/82BSS00200" TargetMode="External"/><Relationship Id="rId5" Type="http://schemas.openxmlformats.org/officeDocument/2006/relationships/hyperlink" Target="https://www.casasbahia.com.br/Telefones-Celulares/TelefoniaFixa/Telefonescomfio/telefone-com-fio-intelbras-tc-60-id-com-identificacao-de-chamadas-e-viva-voz-preto-825173.html?IdSku=825173" TargetMode="External"/><Relationship Id="rId4" Type="http://schemas.openxmlformats.org/officeDocument/2006/relationships/hyperlink" Target="https://www.casasbahia.com.br/Telefones-Celulares/Smartphones/Android/smartphone-motorola-moto-g10-cinza-aurora-64gb-4gb-ram-tela-de-6-5-camera-traseira-quadrupla-android-11-e-processador-qualcomm-460-octa-core-55019913.html?IdSku=55019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2"/>
  <sheetViews>
    <sheetView workbookViewId="0">
      <selection activeCell="B20" sqref="B20"/>
    </sheetView>
  </sheetViews>
  <sheetFormatPr defaultRowHeight="15" x14ac:dyDescent="0.25"/>
  <cols>
    <col min="1" max="1" width="46.28515625" bestFit="1" customWidth="1"/>
    <col min="2" max="2" width="21.140625" customWidth="1"/>
    <col min="3" max="3" width="47.85546875" bestFit="1" customWidth="1"/>
  </cols>
  <sheetData>
    <row r="3" spans="1:3" ht="16.5" thickBot="1" x14ac:dyDescent="0.3">
      <c r="A3" s="1"/>
    </row>
    <row r="4" spans="1:3" ht="15.75" x14ac:dyDescent="0.25">
      <c r="A4" s="9" t="s">
        <v>41</v>
      </c>
      <c r="B4" s="10" t="s">
        <v>37</v>
      </c>
    </row>
    <row r="5" spans="1:3" ht="15.75" x14ac:dyDescent="0.25">
      <c r="A5" s="11" t="s">
        <v>14</v>
      </c>
      <c r="B5" s="36">
        <f>Itens!D8</f>
        <v>164.9</v>
      </c>
    </row>
    <row r="6" spans="1:3" ht="15.75" x14ac:dyDescent="0.25">
      <c r="A6" s="11" t="s">
        <v>15</v>
      </c>
      <c r="B6" s="36">
        <f>Itens!A14</f>
        <v>2794</v>
      </c>
      <c r="C6" s="143"/>
    </row>
    <row r="7" spans="1:3" ht="15.75" x14ac:dyDescent="0.25">
      <c r="A7" s="11" t="s">
        <v>92</v>
      </c>
      <c r="B7" s="36">
        <f>Itens!D2+Itens!D7</f>
        <v>8038.98</v>
      </c>
    </row>
    <row r="8" spans="1:3" ht="15.75" x14ac:dyDescent="0.25">
      <c r="A8" s="11" t="s">
        <v>16</v>
      </c>
      <c r="B8" s="36">
        <f>Itens!D6</f>
        <v>2798</v>
      </c>
    </row>
    <row r="9" spans="1:3" ht="15.75" x14ac:dyDescent="0.25">
      <c r="A9" s="11"/>
      <c r="B9" s="36"/>
    </row>
    <row r="10" spans="1:3" ht="15.75" x14ac:dyDescent="0.25">
      <c r="A10" s="11"/>
      <c r="B10" s="36"/>
    </row>
    <row r="11" spans="1:3" ht="15.75" x14ac:dyDescent="0.25">
      <c r="A11" s="11"/>
      <c r="B11" s="36"/>
    </row>
    <row r="12" spans="1:3" ht="15.75" x14ac:dyDescent="0.25">
      <c r="A12" s="11"/>
      <c r="B12" s="36"/>
      <c r="C12" s="38"/>
    </row>
    <row r="13" spans="1:3" ht="15.75" x14ac:dyDescent="0.25">
      <c r="A13" s="11"/>
      <c r="B13" s="36"/>
      <c r="C13" s="38"/>
    </row>
    <row r="14" spans="1:3" ht="15.75" x14ac:dyDescent="0.25">
      <c r="A14" s="11"/>
      <c r="B14" s="36"/>
      <c r="C14" s="38"/>
    </row>
    <row r="15" spans="1:3" ht="18.75" x14ac:dyDescent="0.3">
      <c r="A15" s="23" t="s">
        <v>43</v>
      </c>
      <c r="B15" s="24">
        <f>SUM(B5:B14)</f>
        <v>13795.88</v>
      </c>
      <c r="C15" s="38"/>
    </row>
    <row r="16" spans="1:3" ht="15.75" x14ac:dyDescent="0.25">
      <c r="A16" s="12"/>
      <c r="B16" s="36"/>
      <c r="C16" s="38"/>
    </row>
    <row r="17" spans="1:3" x14ac:dyDescent="0.25">
      <c r="A17" s="37" t="s">
        <v>59</v>
      </c>
      <c r="B17" s="36">
        <f>-'FLUXO DE CAIXA'!P41</f>
        <v>238055.5</v>
      </c>
      <c r="C17" s="38"/>
    </row>
    <row r="18" spans="1:3" ht="15.75" x14ac:dyDescent="0.25">
      <c r="A18" s="11"/>
      <c r="B18" s="36"/>
      <c r="C18" s="38"/>
    </row>
    <row r="19" spans="1:3" ht="18.75" x14ac:dyDescent="0.3">
      <c r="A19" s="25" t="s">
        <v>42</v>
      </c>
      <c r="B19" s="24">
        <f>+B17</f>
        <v>238055.5</v>
      </c>
      <c r="C19" s="38"/>
    </row>
    <row r="20" spans="1:3" ht="24" thickBot="1" x14ac:dyDescent="0.4">
      <c r="A20" s="27" t="s">
        <v>45</v>
      </c>
      <c r="B20" s="26">
        <f>+B19+B15</f>
        <v>251851.38</v>
      </c>
    </row>
    <row r="21" spans="1:3" ht="15.75" x14ac:dyDescent="0.25">
      <c r="A21" s="2"/>
    </row>
    <row r="22" spans="1:3" ht="15.75" x14ac:dyDescent="0.25">
      <c r="A22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R109"/>
  <sheetViews>
    <sheetView showGridLines="0" topLeftCell="A79" workbookViewId="0">
      <selection activeCell="B25" sqref="B25"/>
    </sheetView>
  </sheetViews>
  <sheetFormatPr defaultRowHeight="15" x14ac:dyDescent="0.25"/>
  <cols>
    <col min="1" max="1" width="29.42578125" bestFit="1" customWidth="1"/>
    <col min="2" max="13" width="21.140625" bestFit="1" customWidth="1"/>
    <col min="14" max="14" width="16.85546875" bestFit="1" customWidth="1"/>
    <col min="17" max="17" width="22.42578125" bestFit="1" customWidth="1"/>
  </cols>
  <sheetData>
    <row r="3" spans="1:15" ht="15.75" x14ac:dyDescent="0.25">
      <c r="A3" s="3"/>
      <c r="B3" s="169" t="s">
        <v>163</v>
      </c>
      <c r="C3" s="169" t="s">
        <v>103</v>
      </c>
      <c r="D3" s="169" t="s">
        <v>104</v>
      </c>
      <c r="E3" s="169" t="s">
        <v>105</v>
      </c>
      <c r="F3" s="169" t="s">
        <v>106</v>
      </c>
      <c r="G3" s="169" t="s">
        <v>107</v>
      </c>
      <c r="H3" s="169" t="s">
        <v>108</v>
      </c>
      <c r="I3" s="169" t="s">
        <v>109</v>
      </c>
      <c r="J3" s="169" t="s">
        <v>110</v>
      </c>
      <c r="K3" s="169" t="s">
        <v>111</v>
      </c>
      <c r="L3" s="169" t="s">
        <v>112</v>
      </c>
      <c r="M3" s="169" t="s">
        <v>113</v>
      </c>
      <c r="N3" s="3" t="s">
        <v>31</v>
      </c>
      <c r="O3" s="5"/>
    </row>
    <row r="4" spans="1:15" x14ac:dyDescent="0.25">
      <c r="A4" s="3" t="s">
        <v>11</v>
      </c>
      <c r="B4" s="56">
        <v>2500</v>
      </c>
      <c r="C4" s="56">
        <v>2500</v>
      </c>
      <c r="D4" s="56">
        <v>2500</v>
      </c>
      <c r="E4" s="56">
        <v>2500</v>
      </c>
      <c r="F4" s="56">
        <v>2500</v>
      </c>
      <c r="G4" s="56">
        <v>2500</v>
      </c>
      <c r="H4" s="56">
        <v>2500</v>
      </c>
      <c r="I4" s="56">
        <v>2500</v>
      </c>
      <c r="J4" s="56">
        <v>2500</v>
      </c>
      <c r="K4" s="56">
        <v>2500</v>
      </c>
      <c r="L4" s="56">
        <v>2500</v>
      </c>
      <c r="M4" s="56">
        <v>2500</v>
      </c>
      <c r="N4" s="43">
        <f t="shared" ref="N4:N5" si="0">SUM(B4:M4)</f>
        <v>30000</v>
      </c>
      <c r="O4" s="5"/>
    </row>
    <row r="5" spans="1:15" x14ac:dyDescent="0.25">
      <c r="A5" s="3" t="s">
        <v>12</v>
      </c>
      <c r="B5" s="56">
        <f>B4*0.6</f>
        <v>1500</v>
      </c>
      <c r="C5" s="56">
        <v>1500</v>
      </c>
      <c r="D5" s="56">
        <v>1500</v>
      </c>
      <c r="E5" s="56">
        <v>1500</v>
      </c>
      <c r="F5" s="56">
        <v>1500</v>
      </c>
      <c r="G5" s="56">
        <v>1500</v>
      </c>
      <c r="H5" s="56">
        <v>1500</v>
      </c>
      <c r="I5" s="56">
        <v>1500</v>
      </c>
      <c r="J5" s="56">
        <v>1500</v>
      </c>
      <c r="K5" s="56">
        <v>1500</v>
      </c>
      <c r="L5" s="56">
        <v>1500</v>
      </c>
      <c r="M5" s="56">
        <v>1500</v>
      </c>
      <c r="N5" s="43">
        <f t="shared" si="0"/>
        <v>18000</v>
      </c>
      <c r="O5" s="5"/>
    </row>
    <row r="6" spans="1:15" x14ac:dyDescent="0.25">
      <c r="A6" s="3" t="s">
        <v>0</v>
      </c>
      <c r="B6" s="57">
        <v>8000</v>
      </c>
      <c r="C6" s="57">
        <f>+B6</f>
        <v>8000</v>
      </c>
      <c r="D6" s="57">
        <f t="shared" ref="D6:M6" si="1">+C6</f>
        <v>8000</v>
      </c>
      <c r="E6" s="57">
        <f t="shared" si="1"/>
        <v>8000</v>
      </c>
      <c r="F6" s="57">
        <f t="shared" si="1"/>
        <v>8000</v>
      </c>
      <c r="G6" s="57">
        <f t="shared" si="1"/>
        <v>8000</v>
      </c>
      <c r="H6" s="57">
        <f t="shared" si="1"/>
        <v>8000</v>
      </c>
      <c r="I6" s="57">
        <f t="shared" si="1"/>
        <v>8000</v>
      </c>
      <c r="J6" s="57">
        <f t="shared" si="1"/>
        <v>8000</v>
      </c>
      <c r="K6" s="57">
        <f t="shared" si="1"/>
        <v>8000</v>
      </c>
      <c r="L6" s="57">
        <f t="shared" si="1"/>
        <v>8000</v>
      </c>
      <c r="M6" s="57">
        <f t="shared" si="1"/>
        <v>8000</v>
      </c>
      <c r="N6" s="43">
        <f>SUM(B6:M6)</f>
        <v>96000</v>
      </c>
      <c r="O6" s="5"/>
    </row>
    <row r="7" spans="1:15" x14ac:dyDescent="0.25">
      <c r="A7" s="3" t="s">
        <v>88</v>
      </c>
      <c r="B7" s="57">
        <v>98</v>
      </c>
      <c r="C7" s="57">
        <v>98</v>
      </c>
      <c r="D7" s="57">
        <v>98</v>
      </c>
      <c r="E7" s="57">
        <v>98</v>
      </c>
      <c r="F7" s="57">
        <v>98</v>
      </c>
      <c r="G7" s="57">
        <v>98</v>
      </c>
      <c r="H7" s="57">
        <v>98</v>
      </c>
      <c r="I7" s="57">
        <v>98</v>
      </c>
      <c r="J7" s="57">
        <v>98</v>
      </c>
      <c r="K7" s="57">
        <v>98</v>
      </c>
      <c r="L7" s="57">
        <v>98</v>
      </c>
      <c r="M7" s="57">
        <v>98</v>
      </c>
      <c r="N7" s="43">
        <f t="shared" ref="N7:N21" si="2">SUM(B7:M7)</f>
        <v>1176</v>
      </c>
      <c r="O7" s="5"/>
    </row>
    <row r="8" spans="1:15" x14ac:dyDescent="0.25">
      <c r="A8" s="3" t="s">
        <v>1</v>
      </c>
      <c r="B8" s="57">
        <v>1700</v>
      </c>
      <c r="C8" s="57">
        <f>+B8</f>
        <v>1700</v>
      </c>
      <c r="D8" s="57">
        <f t="shared" ref="D8:M8" si="3">+C8</f>
        <v>1700</v>
      </c>
      <c r="E8" s="57">
        <f t="shared" si="3"/>
        <v>1700</v>
      </c>
      <c r="F8" s="57">
        <f t="shared" si="3"/>
        <v>1700</v>
      </c>
      <c r="G8" s="57">
        <f t="shared" si="3"/>
        <v>1700</v>
      </c>
      <c r="H8" s="57">
        <f t="shared" si="3"/>
        <v>1700</v>
      </c>
      <c r="I8" s="57">
        <f t="shared" si="3"/>
        <v>1700</v>
      </c>
      <c r="J8" s="57">
        <f t="shared" si="3"/>
        <v>1700</v>
      </c>
      <c r="K8" s="57">
        <f t="shared" si="3"/>
        <v>1700</v>
      </c>
      <c r="L8" s="57">
        <f t="shared" si="3"/>
        <v>1700</v>
      </c>
      <c r="M8" s="57">
        <f t="shared" si="3"/>
        <v>1700</v>
      </c>
      <c r="N8" s="43">
        <f t="shared" si="2"/>
        <v>20400</v>
      </c>
      <c r="O8" s="5"/>
    </row>
    <row r="9" spans="1:15" x14ac:dyDescent="0.25">
      <c r="A9" s="3" t="s">
        <v>2</v>
      </c>
      <c r="B9" s="57">
        <v>300</v>
      </c>
      <c r="C9" s="57">
        <v>300</v>
      </c>
      <c r="D9" s="57">
        <v>300</v>
      </c>
      <c r="E9" s="57">
        <v>300</v>
      </c>
      <c r="F9" s="57">
        <v>300</v>
      </c>
      <c r="G9" s="57">
        <v>300</v>
      </c>
      <c r="H9" s="57">
        <v>300</v>
      </c>
      <c r="I9" s="57">
        <v>300</v>
      </c>
      <c r="J9" s="57">
        <v>300</v>
      </c>
      <c r="K9" s="57">
        <v>300</v>
      </c>
      <c r="L9" s="57">
        <v>300</v>
      </c>
      <c r="M9" s="57">
        <v>300</v>
      </c>
      <c r="N9" s="43">
        <f t="shared" si="2"/>
        <v>3600</v>
      </c>
      <c r="O9" s="5"/>
    </row>
    <row r="10" spans="1:15" x14ac:dyDescent="0.25">
      <c r="A10" s="3" t="s">
        <v>3</v>
      </c>
      <c r="B10" s="57">
        <v>120</v>
      </c>
      <c r="C10" s="57">
        <v>120</v>
      </c>
      <c r="D10" s="57">
        <v>120</v>
      </c>
      <c r="E10" s="57">
        <v>120</v>
      </c>
      <c r="F10" s="57">
        <v>120</v>
      </c>
      <c r="G10" s="57">
        <v>120</v>
      </c>
      <c r="H10" s="57">
        <v>120</v>
      </c>
      <c r="I10" s="57">
        <v>120</v>
      </c>
      <c r="J10" s="57">
        <v>120</v>
      </c>
      <c r="K10" s="57">
        <v>120</v>
      </c>
      <c r="L10" s="57">
        <v>120</v>
      </c>
      <c r="M10" s="57">
        <v>120</v>
      </c>
      <c r="N10" s="43">
        <f t="shared" si="2"/>
        <v>1440</v>
      </c>
      <c r="O10" s="5"/>
    </row>
    <row r="11" spans="1:15" x14ac:dyDescent="0.25">
      <c r="A11" s="3" t="s">
        <v>4</v>
      </c>
      <c r="B11" s="57">
        <v>160</v>
      </c>
      <c r="C11" s="57">
        <f>+B11</f>
        <v>160</v>
      </c>
      <c r="D11" s="57">
        <f t="shared" ref="D11:M11" si="4">+C11</f>
        <v>160</v>
      </c>
      <c r="E11" s="57">
        <f t="shared" si="4"/>
        <v>160</v>
      </c>
      <c r="F11" s="57">
        <f t="shared" si="4"/>
        <v>160</v>
      </c>
      <c r="G11" s="57">
        <f t="shared" si="4"/>
        <v>160</v>
      </c>
      <c r="H11" s="57">
        <f t="shared" si="4"/>
        <v>160</v>
      </c>
      <c r="I11" s="57">
        <f t="shared" si="4"/>
        <v>160</v>
      </c>
      <c r="J11" s="57">
        <f t="shared" si="4"/>
        <v>160</v>
      </c>
      <c r="K11" s="57">
        <f t="shared" si="4"/>
        <v>160</v>
      </c>
      <c r="L11" s="57">
        <f t="shared" si="4"/>
        <v>160</v>
      </c>
      <c r="M11" s="57">
        <f t="shared" si="4"/>
        <v>160</v>
      </c>
      <c r="N11" s="43">
        <f t="shared" si="2"/>
        <v>1920</v>
      </c>
      <c r="O11" s="5"/>
    </row>
    <row r="12" spans="1:15" x14ac:dyDescent="0.25">
      <c r="A12" s="3" t="s">
        <v>5</v>
      </c>
      <c r="B12" s="57">
        <v>300</v>
      </c>
      <c r="C12" s="57">
        <v>300</v>
      </c>
      <c r="D12" s="57">
        <v>300</v>
      </c>
      <c r="E12" s="57">
        <v>300</v>
      </c>
      <c r="F12" s="57">
        <v>300</v>
      </c>
      <c r="G12" s="57">
        <v>300</v>
      </c>
      <c r="H12" s="57">
        <v>300</v>
      </c>
      <c r="I12" s="57">
        <v>300</v>
      </c>
      <c r="J12" s="57">
        <v>300</v>
      </c>
      <c r="K12" s="57">
        <v>300</v>
      </c>
      <c r="L12" s="57">
        <v>300</v>
      </c>
      <c r="M12" s="57">
        <v>300</v>
      </c>
      <c r="N12" s="43">
        <f t="shared" si="2"/>
        <v>3600</v>
      </c>
      <c r="O12" s="5"/>
    </row>
    <row r="13" spans="1:15" x14ac:dyDescent="0.25">
      <c r="A13" s="3" t="s">
        <v>6</v>
      </c>
      <c r="B13" s="57">
        <v>560</v>
      </c>
      <c r="C13" s="57">
        <f>+B13</f>
        <v>560</v>
      </c>
      <c r="D13" s="57">
        <f t="shared" ref="D13:M13" si="5">+C13</f>
        <v>560</v>
      </c>
      <c r="E13" s="57">
        <f t="shared" si="5"/>
        <v>560</v>
      </c>
      <c r="F13" s="57">
        <f t="shared" si="5"/>
        <v>560</v>
      </c>
      <c r="G13" s="57">
        <f t="shared" si="5"/>
        <v>560</v>
      </c>
      <c r="H13" s="57">
        <f t="shared" si="5"/>
        <v>560</v>
      </c>
      <c r="I13" s="57">
        <f t="shared" si="5"/>
        <v>560</v>
      </c>
      <c r="J13" s="57">
        <f t="shared" si="5"/>
        <v>560</v>
      </c>
      <c r="K13" s="57">
        <f t="shared" si="5"/>
        <v>560</v>
      </c>
      <c r="L13" s="57">
        <f t="shared" si="5"/>
        <v>560</v>
      </c>
      <c r="M13" s="57">
        <f t="shared" si="5"/>
        <v>560</v>
      </c>
      <c r="N13" s="43">
        <f t="shared" si="2"/>
        <v>6720</v>
      </c>
      <c r="O13" s="5"/>
    </row>
    <row r="14" spans="1:15" x14ac:dyDescent="0.25">
      <c r="A14" s="3" t="s">
        <v>7</v>
      </c>
      <c r="B14" s="56">
        <v>230</v>
      </c>
      <c r="C14" s="56">
        <v>230</v>
      </c>
      <c r="D14" s="56">
        <v>230</v>
      </c>
      <c r="E14" s="56">
        <v>230</v>
      </c>
      <c r="F14" s="56">
        <v>230</v>
      </c>
      <c r="G14" s="56">
        <v>230</v>
      </c>
      <c r="H14" s="56">
        <v>230</v>
      </c>
      <c r="I14" s="56">
        <v>230</v>
      </c>
      <c r="J14" s="56">
        <v>230</v>
      </c>
      <c r="K14" s="56">
        <v>230</v>
      </c>
      <c r="L14" s="56">
        <v>230</v>
      </c>
      <c r="M14" s="56">
        <v>230</v>
      </c>
      <c r="N14" s="43">
        <f t="shared" si="2"/>
        <v>2760</v>
      </c>
      <c r="O14" s="5"/>
    </row>
    <row r="15" spans="1:15" x14ac:dyDescent="0.25">
      <c r="A15" s="3" t="s">
        <v>8</v>
      </c>
      <c r="B15" s="56">
        <v>1200</v>
      </c>
      <c r="C15" s="56">
        <v>1200</v>
      </c>
      <c r="D15" s="56">
        <v>1200</v>
      </c>
      <c r="E15" s="56">
        <v>1200</v>
      </c>
      <c r="F15" s="56">
        <v>1200</v>
      </c>
      <c r="G15" s="56">
        <v>1200</v>
      </c>
      <c r="H15" s="56">
        <v>1200</v>
      </c>
      <c r="I15" s="56">
        <v>1200</v>
      </c>
      <c r="J15" s="56">
        <v>1200</v>
      </c>
      <c r="K15" s="56">
        <v>1200</v>
      </c>
      <c r="L15" s="56">
        <v>1200</v>
      </c>
      <c r="M15" s="56">
        <v>1200</v>
      </c>
      <c r="N15" s="43">
        <f t="shared" si="2"/>
        <v>14400</v>
      </c>
      <c r="O15" s="5"/>
    </row>
    <row r="16" spans="1:15" x14ac:dyDescent="0.25">
      <c r="A16" s="3" t="s">
        <v>9</v>
      </c>
      <c r="B16" s="56">
        <v>900</v>
      </c>
      <c r="C16" s="56">
        <v>900</v>
      </c>
      <c r="D16" s="56">
        <v>900</v>
      </c>
      <c r="E16" s="56">
        <v>900</v>
      </c>
      <c r="F16" s="56">
        <v>900</v>
      </c>
      <c r="G16" s="56">
        <v>900</v>
      </c>
      <c r="H16" s="56">
        <v>900</v>
      </c>
      <c r="I16" s="56">
        <v>900</v>
      </c>
      <c r="J16" s="56">
        <v>900</v>
      </c>
      <c r="K16" s="56">
        <v>900</v>
      </c>
      <c r="L16" s="56">
        <v>900</v>
      </c>
      <c r="M16" s="56">
        <v>900</v>
      </c>
      <c r="N16" s="43">
        <f t="shared" si="2"/>
        <v>10800</v>
      </c>
      <c r="O16" s="5"/>
    </row>
    <row r="17" spans="1:18" x14ac:dyDescent="0.25">
      <c r="A17" s="3" t="s">
        <v>10</v>
      </c>
      <c r="B17" s="56">
        <v>3000</v>
      </c>
      <c r="C17" s="56">
        <v>3000</v>
      </c>
      <c r="D17" s="56">
        <v>3000</v>
      </c>
      <c r="E17" s="56">
        <v>3000</v>
      </c>
      <c r="F17" s="56">
        <v>3000</v>
      </c>
      <c r="G17" s="56">
        <v>3000</v>
      </c>
      <c r="H17" s="56">
        <v>3000</v>
      </c>
      <c r="I17" s="56">
        <v>3000</v>
      </c>
      <c r="J17" s="56">
        <v>3000</v>
      </c>
      <c r="K17" s="56">
        <v>3000</v>
      </c>
      <c r="L17" s="56">
        <v>3000</v>
      </c>
      <c r="M17" s="56">
        <v>3000</v>
      </c>
      <c r="N17" s="43">
        <f t="shared" si="2"/>
        <v>36000</v>
      </c>
      <c r="O17" s="5"/>
    </row>
    <row r="18" spans="1:18" x14ac:dyDescent="0.25">
      <c r="A18" s="59" t="s">
        <v>95</v>
      </c>
      <c r="B18" s="56">
        <v>390</v>
      </c>
      <c r="C18" s="56">
        <v>390</v>
      </c>
      <c r="D18" s="56">
        <v>390</v>
      </c>
      <c r="E18" s="56">
        <v>390</v>
      </c>
      <c r="F18" s="56">
        <v>390</v>
      </c>
      <c r="G18" s="56">
        <v>390</v>
      </c>
      <c r="H18" s="56">
        <v>390</v>
      </c>
      <c r="I18" s="56">
        <v>390</v>
      </c>
      <c r="J18" s="56">
        <v>390</v>
      </c>
      <c r="K18" s="56">
        <v>390</v>
      </c>
      <c r="L18" s="56">
        <v>390</v>
      </c>
      <c r="M18" s="56">
        <v>390</v>
      </c>
      <c r="N18" s="56">
        <v>390</v>
      </c>
      <c r="O18" s="5"/>
    </row>
    <row r="19" spans="1:18" ht="18" x14ac:dyDescent="0.25">
      <c r="A19" s="3"/>
      <c r="B19" s="3"/>
      <c r="C19" s="3"/>
      <c r="D19" s="3"/>
      <c r="E19" s="170"/>
      <c r="F19" s="170"/>
      <c r="G19" s="170"/>
      <c r="H19" s="170"/>
      <c r="I19" s="170"/>
      <c r="J19" s="170"/>
      <c r="K19" s="170"/>
      <c r="L19" s="170"/>
      <c r="M19" s="170"/>
      <c r="N19" s="59"/>
      <c r="O19" s="5"/>
    </row>
    <row r="20" spans="1:18" ht="18" x14ac:dyDescent="0.25">
      <c r="A20" s="3" t="s">
        <v>13</v>
      </c>
      <c r="B20" s="3"/>
      <c r="C20" s="3"/>
      <c r="D20" s="3"/>
      <c r="E20" s="170"/>
      <c r="F20" s="170"/>
      <c r="G20" s="170"/>
      <c r="H20" s="170"/>
      <c r="I20" s="170"/>
      <c r="J20" s="170"/>
      <c r="K20" s="170"/>
      <c r="L20" s="170"/>
      <c r="M20" s="170"/>
      <c r="N20" s="59"/>
      <c r="O20" s="5"/>
    </row>
    <row r="21" spans="1:18" ht="18" x14ac:dyDescent="0.25">
      <c r="A21" s="171" t="s">
        <v>30</v>
      </c>
      <c r="B21" s="172">
        <f t="shared" ref="B21:M21" si="6">SUM(B4:B20)</f>
        <v>20958</v>
      </c>
      <c r="C21" s="172">
        <f t="shared" si="6"/>
        <v>20958</v>
      </c>
      <c r="D21" s="172">
        <f t="shared" si="6"/>
        <v>20958</v>
      </c>
      <c r="E21" s="170">
        <f t="shared" si="6"/>
        <v>20958</v>
      </c>
      <c r="F21" s="170">
        <f t="shared" si="6"/>
        <v>20958</v>
      </c>
      <c r="G21" s="170">
        <f t="shared" si="6"/>
        <v>20958</v>
      </c>
      <c r="H21" s="170">
        <f t="shared" si="6"/>
        <v>20958</v>
      </c>
      <c r="I21" s="170">
        <f t="shared" si="6"/>
        <v>20958</v>
      </c>
      <c r="J21" s="170">
        <f t="shared" si="6"/>
        <v>20958</v>
      </c>
      <c r="K21" s="170">
        <f t="shared" si="6"/>
        <v>20958</v>
      </c>
      <c r="L21" s="170">
        <f t="shared" si="6"/>
        <v>20958</v>
      </c>
      <c r="M21" s="170">
        <f t="shared" si="6"/>
        <v>20958</v>
      </c>
      <c r="N21" s="59">
        <f t="shared" si="2"/>
        <v>251496</v>
      </c>
      <c r="O21" s="5"/>
    </row>
    <row r="23" spans="1:18" ht="15.75" thickBot="1" x14ac:dyDescent="0.3"/>
    <row r="24" spans="1:18" ht="16.5" thickBot="1" x14ac:dyDescent="0.3">
      <c r="A24" s="3"/>
      <c r="B24" s="168" t="s">
        <v>114</v>
      </c>
      <c r="C24" s="168" t="s">
        <v>115</v>
      </c>
      <c r="D24" s="168" t="s">
        <v>116</v>
      </c>
      <c r="E24" s="168" t="s">
        <v>117</v>
      </c>
      <c r="F24" s="168" t="s">
        <v>118</v>
      </c>
      <c r="G24" s="168" t="s">
        <v>119</v>
      </c>
      <c r="H24" s="168" t="s">
        <v>120</v>
      </c>
      <c r="I24" s="168" t="s">
        <v>121</v>
      </c>
      <c r="J24" s="168" t="s">
        <v>122</v>
      </c>
      <c r="K24" s="168" t="s">
        <v>123</v>
      </c>
      <c r="L24" s="168" t="s">
        <v>124</v>
      </c>
      <c r="M24" s="168" t="s">
        <v>125</v>
      </c>
      <c r="N24" s="4" t="s">
        <v>31</v>
      </c>
    </row>
    <row r="25" spans="1:18" x14ac:dyDescent="0.25">
      <c r="A25" s="3" t="s">
        <v>11</v>
      </c>
      <c r="B25" s="61">
        <f t="shared" ref="B25:B38" si="7">+M4*R$28</f>
        <v>3575</v>
      </c>
      <c r="C25" s="61">
        <f>+B25</f>
        <v>3575</v>
      </c>
      <c r="D25" s="61">
        <f>+C25</f>
        <v>3575</v>
      </c>
      <c r="E25" s="61">
        <f t="shared" ref="E25:M25" si="8">+D25</f>
        <v>3575</v>
      </c>
      <c r="F25" s="61">
        <f t="shared" si="8"/>
        <v>3575</v>
      </c>
      <c r="G25" s="61">
        <f t="shared" si="8"/>
        <v>3575</v>
      </c>
      <c r="H25" s="61">
        <f t="shared" si="8"/>
        <v>3575</v>
      </c>
      <c r="I25" s="61">
        <f t="shared" si="8"/>
        <v>3575</v>
      </c>
      <c r="J25" s="61">
        <f t="shared" si="8"/>
        <v>3575</v>
      </c>
      <c r="K25" s="61">
        <f t="shared" si="8"/>
        <v>3575</v>
      </c>
      <c r="L25" s="61">
        <f t="shared" si="8"/>
        <v>3575</v>
      </c>
      <c r="M25" s="61">
        <f t="shared" si="8"/>
        <v>3575</v>
      </c>
      <c r="N25" s="43">
        <f t="shared" ref="N25:N26" si="9">SUM(B25:M25)</f>
        <v>42900</v>
      </c>
    </row>
    <row r="26" spans="1:18" x14ac:dyDescent="0.25">
      <c r="A26" s="3" t="s">
        <v>12</v>
      </c>
      <c r="B26" s="61">
        <f t="shared" si="7"/>
        <v>2145</v>
      </c>
      <c r="C26" s="61">
        <f t="shared" ref="C26:M39" si="10">+B26</f>
        <v>2145</v>
      </c>
      <c r="D26" s="61">
        <f t="shared" si="10"/>
        <v>2145</v>
      </c>
      <c r="E26" s="61">
        <f t="shared" si="10"/>
        <v>2145</v>
      </c>
      <c r="F26" s="61">
        <f t="shared" si="10"/>
        <v>2145</v>
      </c>
      <c r="G26" s="61">
        <f t="shared" si="10"/>
        <v>2145</v>
      </c>
      <c r="H26" s="61">
        <f t="shared" si="10"/>
        <v>2145</v>
      </c>
      <c r="I26" s="61">
        <f t="shared" si="10"/>
        <v>2145</v>
      </c>
      <c r="J26" s="61">
        <f t="shared" si="10"/>
        <v>2145</v>
      </c>
      <c r="K26" s="61">
        <f t="shared" si="10"/>
        <v>2145</v>
      </c>
      <c r="L26" s="61">
        <f t="shared" si="10"/>
        <v>2145</v>
      </c>
      <c r="M26" s="61">
        <f t="shared" si="10"/>
        <v>2145</v>
      </c>
      <c r="N26" s="43">
        <f t="shared" si="9"/>
        <v>25740</v>
      </c>
    </row>
    <row r="27" spans="1:18" x14ac:dyDescent="0.25">
      <c r="A27" s="3" t="s">
        <v>0</v>
      </c>
      <c r="B27" s="62">
        <f t="shared" si="7"/>
        <v>11440</v>
      </c>
      <c r="C27" s="57">
        <f t="shared" si="10"/>
        <v>11440</v>
      </c>
      <c r="D27" s="57">
        <f t="shared" si="10"/>
        <v>11440</v>
      </c>
      <c r="E27" s="57">
        <f t="shared" si="10"/>
        <v>11440</v>
      </c>
      <c r="F27" s="57">
        <f t="shared" si="10"/>
        <v>11440</v>
      </c>
      <c r="G27" s="57">
        <f t="shared" si="10"/>
        <v>11440</v>
      </c>
      <c r="H27" s="57">
        <f t="shared" si="10"/>
        <v>11440</v>
      </c>
      <c r="I27" s="57">
        <f t="shared" si="10"/>
        <v>11440</v>
      </c>
      <c r="J27" s="57">
        <f t="shared" si="10"/>
        <v>11440</v>
      </c>
      <c r="K27" s="57">
        <f t="shared" si="10"/>
        <v>11440</v>
      </c>
      <c r="L27" s="57">
        <f t="shared" si="10"/>
        <v>11440</v>
      </c>
      <c r="M27" s="57">
        <f t="shared" si="10"/>
        <v>11440</v>
      </c>
      <c r="N27" s="43">
        <f>SUM(B27:M27)</f>
        <v>137280</v>
      </c>
      <c r="Q27" t="s">
        <v>65</v>
      </c>
      <c r="R27" t="s">
        <v>66</v>
      </c>
    </row>
    <row r="28" spans="1:18" x14ac:dyDescent="0.25">
      <c r="A28" s="3" t="s">
        <v>88</v>
      </c>
      <c r="B28" s="63">
        <f>+M7*R$28</f>
        <v>140.13999999999999</v>
      </c>
      <c r="C28" s="57">
        <f t="shared" si="10"/>
        <v>140.13999999999999</v>
      </c>
      <c r="D28" s="57">
        <f t="shared" si="10"/>
        <v>140.13999999999999</v>
      </c>
      <c r="E28" s="57">
        <f t="shared" si="10"/>
        <v>140.13999999999999</v>
      </c>
      <c r="F28" s="57">
        <f t="shared" si="10"/>
        <v>140.13999999999999</v>
      </c>
      <c r="G28" s="57">
        <f t="shared" si="10"/>
        <v>140.13999999999999</v>
      </c>
      <c r="H28" s="57">
        <f t="shared" si="10"/>
        <v>140.13999999999999</v>
      </c>
      <c r="I28" s="57">
        <f t="shared" si="10"/>
        <v>140.13999999999999</v>
      </c>
      <c r="J28" s="57">
        <f t="shared" si="10"/>
        <v>140.13999999999999</v>
      </c>
      <c r="K28" s="57">
        <f t="shared" si="10"/>
        <v>140.13999999999999</v>
      </c>
      <c r="L28" s="57">
        <f t="shared" si="10"/>
        <v>140.13999999999999</v>
      </c>
      <c r="M28" s="57">
        <f t="shared" si="10"/>
        <v>140.13999999999999</v>
      </c>
      <c r="N28" s="43">
        <f t="shared" ref="N28:N43" si="11">SUM(B28:M28)</f>
        <v>1681.6799999999994</v>
      </c>
      <c r="Q28" s="44">
        <v>0.43</v>
      </c>
      <c r="R28" s="28">
        <f>+Q28+1</f>
        <v>1.43</v>
      </c>
    </row>
    <row r="29" spans="1:18" x14ac:dyDescent="0.25">
      <c r="A29" s="3" t="s">
        <v>1</v>
      </c>
      <c r="B29" s="62">
        <f t="shared" si="7"/>
        <v>2431</v>
      </c>
      <c r="C29" s="57">
        <f t="shared" si="10"/>
        <v>2431</v>
      </c>
      <c r="D29" s="57">
        <f>+C29</f>
        <v>2431</v>
      </c>
      <c r="E29" s="57">
        <f t="shared" si="10"/>
        <v>2431</v>
      </c>
      <c r="F29" s="57">
        <f t="shared" si="10"/>
        <v>2431</v>
      </c>
      <c r="G29" s="57">
        <f t="shared" si="10"/>
        <v>2431</v>
      </c>
      <c r="H29" s="57">
        <f t="shared" si="10"/>
        <v>2431</v>
      </c>
      <c r="I29" s="57">
        <f t="shared" si="10"/>
        <v>2431</v>
      </c>
      <c r="J29" s="57">
        <f t="shared" si="10"/>
        <v>2431</v>
      </c>
      <c r="K29" s="57">
        <f t="shared" si="10"/>
        <v>2431</v>
      </c>
      <c r="L29" s="57">
        <f t="shared" si="10"/>
        <v>2431</v>
      </c>
      <c r="M29" s="57">
        <f t="shared" si="10"/>
        <v>2431</v>
      </c>
      <c r="N29" s="43">
        <f t="shared" si="11"/>
        <v>29172</v>
      </c>
    </row>
    <row r="30" spans="1:18" x14ac:dyDescent="0.25">
      <c r="A30" s="3" t="s">
        <v>2</v>
      </c>
      <c r="B30" s="63">
        <f t="shared" si="7"/>
        <v>429</v>
      </c>
      <c r="C30" s="63">
        <f t="shared" si="10"/>
        <v>429</v>
      </c>
      <c r="D30" s="63">
        <f t="shared" si="10"/>
        <v>429</v>
      </c>
      <c r="E30" s="63">
        <f t="shared" si="10"/>
        <v>429</v>
      </c>
      <c r="F30" s="63">
        <f t="shared" si="10"/>
        <v>429</v>
      </c>
      <c r="G30" s="63">
        <f t="shared" si="10"/>
        <v>429</v>
      </c>
      <c r="H30" s="63">
        <f t="shared" si="10"/>
        <v>429</v>
      </c>
      <c r="I30" s="63">
        <f t="shared" si="10"/>
        <v>429</v>
      </c>
      <c r="J30" s="63">
        <f t="shared" si="10"/>
        <v>429</v>
      </c>
      <c r="K30" s="63">
        <f t="shared" si="10"/>
        <v>429</v>
      </c>
      <c r="L30" s="63">
        <f t="shared" si="10"/>
        <v>429</v>
      </c>
      <c r="M30" s="63">
        <f t="shared" si="10"/>
        <v>429</v>
      </c>
      <c r="N30" s="43">
        <f t="shared" si="11"/>
        <v>5148</v>
      </c>
    </row>
    <row r="31" spans="1:18" x14ac:dyDescent="0.25">
      <c r="A31" s="3" t="s">
        <v>3</v>
      </c>
      <c r="B31" s="63">
        <f t="shared" si="7"/>
        <v>171.6</v>
      </c>
      <c r="C31" s="57">
        <f t="shared" si="10"/>
        <v>171.6</v>
      </c>
      <c r="D31" s="57">
        <f t="shared" si="10"/>
        <v>171.6</v>
      </c>
      <c r="E31" s="57">
        <f t="shared" si="10"/>
        <v>171.6</v>
      </c>
      <c r="F31" s="57">
        <f t="shared" si="10"/>
        <v>171.6</v>
      </c>
      <c r="G31" s="57">
        <f t="shared" si="10"/>
        <v>171.6</v>
      </c>
      <c r="H31" s="57">
        <f t="shared" si="10"/>
        <v>171.6</v>
      </c>
      <c r="I31" s="57">
        <f t="shared" si="10"/>
        <v>171.6</v>
      </c>
      <c r="J31" s="57">
        <f t="shared" si="10"/>
        <v>171.6</v>
      </c>
      <c r="K31" s="57">
        <f t="shared" si="10"/>
        <v>171.6</v>
      </c>
      <c r="L31" s="57">
        <f t="shared" si="10"/>
        <v>171.6</v>
      </c>
      <c r="M31" s="57">
        <f t="shared" si="10"/>
        <v>171.6</v>
      </c>
      <c r="N31" s="43">
        <f t="shared" si="11"/>
        <v>2059.1999999999994</v>
      </c>
    </row>
    <row r="32" spans="1:18" x14ac:dyDescent="0.25">
      <c r="A32" s="3" t="s">
        <v>4</v>
      </c>
      <c r="B32" s="62">
        <f t="shared" si="7"/>
        <v>228.79999999999998</v>
      </c>
      <c r="C32" s="57">
        <f t="shared" si="10"/>
        <v>228.79999999999998</v>
      </c>
      <c r="D32" s="57">
        <f t="shared" si="10"/>
        <v>228.79999999999998</v>
      </c>
      <c r="E32" s="57">
        <f t="shared" si="10"/>
        <v>228.79999999999998</v>
      </c>
      <c r="F32" s="57">
        <f t="shared" si="10"/>
        <v>228.79999999999998</v>
      </c>
      <c r="G32" s="57">
        <f t="shared" si="10"/>
        <v>228.79999999999998</v>
      </c>
      <c r="H32" s="57">
        <f t="shared" si="10"/>
        <v>228.79999999999998</v>
      </c>
      <c r="I32" s="57">
        <f t="shared" si="10"/>
        <v>228.79999999999998</v>
      </c>
      <c r="J32" s="57">
        <f t="shared" si="10"/>
        <v>228.79999999999998</v>
      </c>
      <c r="K32" s="57">
        <f t="shared" si="10"/>
        <v>228.79999999999998</v>
      </c>
      <c r="L32" s="57">
        <f t="shared" si="10"/>
        <v>228.79999999999998</v>
      </c>
      <c r="M32" s="57">
        <f t="shared" si="10"/>
        <v>228.79999999999998</v>
      </c>
      <c r="N32" s="43">
        <f t="shared" si="11"/>
        <v>2745.6000000000004</v>
      </c>
    </row>
    <row r="33" spans="1:14" x14ac:dyDescent="0.25">
      <c r="A33" s="3" t="s">
        <v>5</v>
      </c>
      <c r="B33" s="63">
        <f t="shared" si="7"/>
        <v>429</v>
      </c>
      <c r="C33" s="57">
        <f t="shared" si="10"/>
        <v>429</v>
      </c>
      <c r="D33" s="57">
        <f t="shared" si="10"/>
        <v>429</v>
      </c>
      <c r="E33" s="57">
        <f t="shared" si="10"/>
        <v>429</v>
      </c>
      <c r="F33" s="57">
        <f t="shared" si="10"/>
        <v>429</v>
      </c>
      <c r="G33" s="57">
        <f t="shared" si="10"/>
        <v>429</v>
      </c>
      <c r="H33" s="57">
        <f t="shared" si="10"/>
        <v>429</v>
      </c>
      <c r="I33" s="57">
        <f t="shared" si="10"/>
        <v>429</v>
      </c>
      <c r="J33" s="57">
        <f t="shared" si="10"/>
        <v>429</v>
      </c>
      <c r="K33" s="57">
        <f t="shared" si="10"/>
        <v>429</v>
      </c>
      <c r="L33" s="57">
        <f t="shared" si="10"/>
        <v>429</v>
      </c>
      <c r="M33" s="57">
        <f t="shared" si="10"/>
        <v>429</v>
      </c>
      <c r="N33" s="43">
        <f t="shared" si="11"/>
        <v>5148</v>
      </c>
    </row>
    <row r="34" spans="1:14" x14ac:dyDescent="0.25">
      <c r="A34" s="3" t="s">
        <v>6</v>
      </c>
      <c r="B34" s="62">
        <f t="shared" si="7"/>
        <v>800.8</v>
      </c>
      <c r="C34" s="57">
        <f t="shared" si="10"/>
        <v>800.8</v>
      </c>
      <c r="D34" s="57">
        <f t="shared" si="10"/>
        <v>800.8</v>
      </c>
      <c r="E34" s="57">
        <f t="shared" si="10"/>
        <v>800.8</v>
      </c>
      <c r="F34" s="57">
        <f t="shared" si="10"/>
        <v>800.8</v>
      </c>
      <c r="G34" s="57">
        <f t="shared" si="10"/>
        <v>800.8</v>
      </c>
      <c r="H34" s="57">
        <f t="shared" si="10"/>
        <v>800.8</v>
      </c>
      <c r="I34" s="57">
        <f t="shared" si="10"/>
        <v>800.8</v>
      </c>
      <c r="J34" s="57">
        <f t="shared" si="10"/>
        <v>800.8</v>
      </c>
      <c r="K34" s="57">
        <f t="shared" si="10"/>
        <v>800.8</v>
      </c>
      <c r="L34" s="57">
        <f t="shared" si="10"/>
        <v>800.8</v>
      </c>
      <c r="M34" s="57">
        <f t="shared" si="10"/>
        <v>800.8</v>
      </c>
      <c r="N34" s="43">
        <f t="shared" si="11"/>
        <v>9609.6</v>
      </c>
    </row>
    <row r="35" spans="1:14" x14ac:dyDescent="0.25">
      <c r="A35" s="3" t="s">
        <v>7</v>
      </c>
      <c r="B35" s="61">
        <f t="shared" si="7"/>
        <v>328.9</v>
      </c>
      <c r="C35" s="56">
        <f t="shared" si="10"/>
        <v>328.9</v>
      </c>
      <c r="D35" s="56">
        <f t="shared" si="10"/>
        <v>328.9</v>
      </c>
      <c r="E35" s="56">
        <f t="shared" si="10"/>
        <v>328.9</v>
      </c>
      <c r="F35" s="56">
        <f t="shared" si="10"/>
        <v>328.9</v>
      </c>
      <c r="G35" s="56">
        <f t="shared" si="10"/>
        <v>328.9</v>
      </c>
      <c r="H35" s="56">
        <f t="shared" si="10"/>
        <v>328.9</v>
      </c>
      <c r="I35" s="56">
        <f t="shared" si="10"/>
        <v>328.9</v>
      </c>
      <c r="J35" s="56">
        <f t="shared" si="10"/>
        <v>328.9</v>
      </c>
      <c r="K35" s="56">
        <f t="shared" si="10"/>
        <v>328.9</v>
      </c>
      <c r="L35" s="56">
        <f t="shared" si="10"/>
        <v>328.9</v>
      </c>
      <c r="M35" s="56">
        <f t="shared" si="10"/>
        <v>328.9</v>
      </c>
      <c r="N35" s="43">
        <f t="shared" si="11"/>
        <v>3946.8000000000006</v>
      </c>
    </row>
    <row r="36" spans="1:14" x14ac:dyDescent="0.25">
      <c r="A36" s="3" t="s">
        <v>8</v>
      </c>
      <c r="B36" s="61">
        <f t="shared" si="7"/>
        <v>1716</v>
      </c>
      <c r="C36" s="56">
        <f t="shared" si="10"/>
        <v>1716</v>
      </c>
      <c r="D36" s="56">
        <f t="shared" si="10"/>
        <v>1716</v>
      </c>
      <c r="E36" s="56">
        <f t="shared" si="10"/>
        <v>1716</v>
      </c>
      <c r="F36" s="56">
        <f t="shared" si="10"/>
        <v>1716</v>
      </c>
      <c r="G36" s="56">
        <f t="shared" si="10"/>
        <v>1716</v>
      </c>
      <c r="H36" s="56">
        <f t="shared" si="10"/>
        <v>1716</v>
      </c>
      <c r="I36" s="56">
        <f t="shared" si="10"/>
        <v>1716</v>
      </c>
      <c r="J36" s="56">
        <f t="shared" si="10"/>
        <v>1716</v>
      </c>
      <c r="K36" s="56">
        <f t="shared" si="10"/>
        <v>1716</v>
      </c>
      <c r="L36" s="56">
        <f t="shared" si="10"/>
        <v>1716</v>
      </c>
      <c r="M36" s="56">
        <f t="shared" si="10"/>
        <v>1716</v>
      </c>
      <c r="N36" s="43">
        <f t="shared" si="11"/>
        <v>20592</v>
      </c>
    </row>
    <row r="37" spans="1:14" x14ac:dyDescent="0.25">
      <c r="A37" s="3" t="s">
        <v>9</v>
      </c>
      <c r="B37" s="61">
        <f t="shared" si="7"/>
        <v>1287</v>
      </c>
      <c r="C37" s="56">
        <f t="shared" si="10"/>
        <v>1287</v>
      </c>
      <c r="D37" s="56">
        <f t="shared" si="10"/>
        <v>1287</v>
      </c>
      <c r="E37" s="56">
        <f t="shared" si="10"/>
        <v>1287</v>
      </c>
      <c r="F37" s="56">
        <f t="shared" si="10"/>
        <v>1287</v>
      </c>
      <c r="G37" s="56">
        <f t="shared" si="10"/>
        <v>1287</v>
      </c>
      <c r="H37" s="56">
        <f t="shared" si="10"/>
        <v>1287</v>
      </c>
      <c r="I37" s="56">
        <f t="shared" si="10"/>
        <v>1287</v>
      </c>
      <c r="J37" s="56">
        <f t="shared" si="10"/>
        <v>1287</v>
      </c>
      <c r="K37" s="56">
        <f t="shared" si="10"/>
        <v>1287</v>
      </c>
      <c r="L37" s="56">
        <f t="shared" si="10"/>
        <v>1287</v>
      </c>
      <c r="M37" s="56">
        <f t="shared" si="10"/>
        <v>1287</v>
      </c>
      <c r="N37" s="43">
        <f t="shared" si="11"/>
        <v>15444</v>
      </c>
    </row>
    <row r="38" spans="1:14" x14ac:dyDescent="0.25">
      <c r="A38" s="3" t="s">
        <v>10</v>
      </c>
      <c r="B38" s="61">
        <f t="shared" si="7"/>
        <v>4290</v>
      </c>
      <c r="C38" s="56">
        <f t="shared" si="10"/>
        <v>4290</v>
      </c>
      <c r="D38" s="56">
        <f t="shared" si="10"/>
        <v>4290</v>
      </c>
      <c r="E38" s="56">
        <f t="shared" si="10"/>
        <v>4290</v>
      </c>
      <c r="F38" s="56">
        <f t="shared" si="10"/>
        <v>4290</v>
      </c>
      <c r="G38" s="56">
        <f t="shared" si="10"/>
        <v>4290</v>
      </c>
      <c r="H38" s="56">
        <f t="shared" si="10"/>
        <v>4290</v>
      </c>
      <c r="I38" s="56">
        <f t="shared" si="10"/>
        <v>4290</v>
      </c>
      <c r="J38" s="56">
        <f t="shared" si="10"/>
        <v>4290</v>
      </c>
      <c r="K38" s="56">
        <f t="shared" si="10"/>
        <v>4290</v>
      </c>
      <c r="L38" s="56">
        <f t="shared" si="10"/>
        <v>4290</v>
      </c>
      <c r="M38" s="56">
        <f t="shared" si="10"/>
        <v>4290</v>
      </c>
      <c r="N38" s="43">
        <f t="shared" si="11"/>
        <v>51480</v>
      </c>
    </row>
    <row r="39" spans="1:14" s="140" customFormat="1" x14ac:dyDescent="0.25">
      <c r="A39" s="59" t="s">
        <v>95</v>
      </c>
      <c r="B39" s="59">
        <f>B18+B18*0.1</f>
        <v>429</v>
      </c>
      <c r="C39" s="59">
        <f t="shared" si="10"/>
        <v>429</v>
      </c>
      <c r="D39" s="59">
        <f t="shared" si="10"/>
        <v>429</v>
      </c>
      <c r="E39" s="59">
        <f t="shared" si="10"/>
        <v>429</v>
      </c>
      <c r="F39" s="59">
        <f t="shared" si="10"/>
        <v>429</v>
      </c>
      <c r="G39" s="59">
        <f t="shared" si="10"/>
        <v>429</v>
      </c>
      <c r="H39" s="59">
        <f t="shared" si="10"/>
        <v>429</v>
      </c>
      <c r="I39" s="59">
        <f t="shared" si="10"/>
        <v>429</v>
      </c>
      <c r="J39" s="59">
        <f t="shared" si="10"/>
        <v>429</v>
      </c>
      <c r="K39" s="59">
        <f t="shared" si="10"/>
        <v>429</v>
      </c>
      <c r="L39" s="59">
        <f t="shared" si="10"/>
        <v>429</v>
      </c>
      <c r="M39" s="59">
        <f t="shared" si="10"/>
        <v>429</v>
      </c>
      <c r="N39" s="59">
        <f t="shared" si="11"/>
        <v>5148</v>
      </c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43">
        <f t="shared" si="11"/>
        <v>0</v>
      </c>
    </row>
    <row r="41" spans="1:1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43">
        <f t="shared" si="11"/>
        <v>0</v>
      </c>
    </row>
    <row r="42" spans="1:14" ht="15.75" thickBo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43">
        <f t="shared" si="11"/>
        <v>0</v>
      </c>
    </row>
    <row r="43" spans="1:14" ht="18.75" thickBot="1" x14ac:dyDescent="0.3">
      <c r="A43" s="60" t="s">
        <v>30</v>
      </c>
      <c r="B43" s="42">
        <f t="shared" ref="B43:M43" si="12">SUM(B25:B42)</f>
        <v>29841.239999999998</v>
      </c>
      <c r="C43" s="42">
        <f t="shared" si="12"/>
        <v>29841.239999999998</v>
      </c>
      <c r="D43" s="42">
        <f t="shared" si="12"/>
        <v>29841.239999999998</v>
      </c>
      <c r="E43" s="58">
        <f t="shared" si="12"/>
        <v>29841.239999999998</v>
      </c>
      <c r="F43" s="58">
        <f t="shared" si="12"/>
        <v>29841.239999999998</v>
      </c>
      <c r="G43" s="58">
        <f t="shared" si="12"/>
        <v>29841.239999999998</v>
      </c>
      <c r="H43" s="58">
        <f t="shared" si="12"/>
        <v>29841.239999999998</v>
      </c>
      <c r="I43" s="58">
        <f t="shared" si="12"/>
        <v>29841.239999999998</v>
      </c>
      <c r="J43" s="58">
        <f t="shared" si="12"/>
        <v>29841.239999999998</v>
      </c>
      <c r="K43" s="58">
        <f t="shared" si="12"/>
        <v>29841.239999999998</v>
      </c>
      <c r="L43" s="58">
        <f t="shared" si="12"/>
        <v>29841.239999999998</v>
      </c>
      <c r="M43" s="58">
        <f t="shared" si="12"/>
        <v>29841.239999999998</v>
      </c>
      <c r="N43" s="59">
        <f t="shared" si="11"/>
        <v>358094.87999999995</v>
      </c>
    </row>
    <row r="45" spans="1:14" ht="15.75" thickBot="1" x14ac:dyDescent="0.3"/>
    <row r="46" spans="1:14" ht="16.5" thickBot="1" x14ac:dyDescent="0.3">
      <c r="A46" s="3"/>
      <c r="B46" s="168" t="s">
        <v>126</v>
      </c>
      <c r="C46" s="168" t="s">
        <v>127</v>
      </c>
      <c r="D46" s="168" t="s">
        <v>128</v>
      </c>
      <c r="E46" s="168" t="s">
        <v>129</v>
      </c>
      <c r="F46" s="168" t="s">
        <v>130</v>
      </c>
      <c r="G46" s="168" t="s">
        <v>131</v>
      </c>
      <c r="H46" s="168" t="s">
        <v>132</v>
      </c>
      <c r="I46" s="168" t="s">
        <v>133</v>
      </c>
      <c r="J46" s="168" t="s">
        <v>134</v>
      </c>
      <c r="K46" s="168" t="s">
        <v>135</v>
      </c>
      <c r="L46" s="168" t="s">
        <v>136</v>
      </c>
      <c r="M46" s="168" t="s">
        <v>137</v>
      </c>
      <c r="N46" s="4" t="s">
        <v>31</v>
      </c>
    </row>
    <row r="47" spans="1:14" x14ac:dyDescent="0.25">
      <c r="A47" s="3" t="s">
        <v>11</v>
      </c>
      <c r="B47" s="62">
        <f>+M25*R$50</f>
        <v>3682.25</v>
      </c>
      <c r="C47" s="62">
        <f t="shared" ref="C47:M61" si="13">+B47</f>
        <v>3682.25</v>
      </c>
      <c r="D47" s="62">
        <f t="shared" si="13"/>
        <v>3682.25</v>
      </c>
      <c r="E47" s="62">
        <f t="shared" si="13"/>
        <v>3682.25</v>
      </c>
      <c r="F47" s="62">
        <f t="shared" si="13"/>
        <v>3682.25</v>
      </c>
      <c r="G47" s="62">
        <f t="shared" si="13"/>
        <v>3682.25</v>
      </c>
      <c r="H47" s="62">
        <f t="shared" si="13"/>
        <v>3682.25</v>
      </c>
      <c r="I47" s="62">
        <f t="shared" si="13"/>
        <v>3682.25</v>
      </c>
      <c r="J47" s="62">
        <f t="shared" si="13"/>
        <v>3682.25</v>
      </c>
      <c r="K47" s="62">
        <f t="shared" si="13"/>
        <v>3682.25</v>
      </c>
      <c r="L47" s="62">
        <f t="shared" si="13"/>
        <v>3682.25</v>
      </c>
      <c r="M47" s="62">
        <f t="shared" si="13"/>
        <v>3682.25</v>
      </c>
      <c r="N47" s="43">
        <f t="shared" ref="N47:N48" si="14">SUM(B47:M47)</f>
        <v>44187</v>
      </c>
    </row>
    <row r="48" spans="1:14" x14ac:dyDescent="0.25">
      <c r="A48" s="3" t="s">
        <v>12</v>
      </c>
      <c r="B48" s="62">
        <f>+M26*R$50</f>
        <v>2209.35</v>
      </c>
      <c r="C48" s="61">
        <f t="shared" si="13"/>
        <v>2209.35</v>
      </c>
      <c r="D48" s="61">
        <f t="shared" si="13"/>
        <v>2209.35</v>
      </c>
      <c r="E48" s="61">
        <f t="shared" si="13"/>
        <v>2209.35</v>
      </c>
      <c r="F48" s="61">
        <f t="shared" si="13"/>
        <v>2209.35</v>
      </c>
      <c r="G48" s="61">
        <f t="shared" si="13"/>
        <v>2209.35</v>
      </c>
      <c r="H48" s="61">
        <f t="shared" si="13"/>
        <v>2209.35</v>
      </c>
      <c r="I48" s="61">
        <f t="shared" si="13"/>
        <v>2209.35</v>
      </c>
      <c r="J48" s="61">
        <f t="shared" si="13"/>
        <v>2209.35</v>
      </c>
      <c r="K48" s="61">
        <f t="shared" si="13"/>
        <v>2209.35</v>
      </c>
      <c r="L48" s="61">
        <f t="shared" si="13"/>
        <v>2209.35</v>
      </c>
      <c r="M48" s="61">
        <f t="shared" si="13"/>
        <v>2209.35</v>
      </c>
      <c r="N48" s="43">
        <f t="shared" si="14"/>
        <v>26512.199999999993</v>
      </c>
    </row>
    <row r="49" spans="1:18" x14ac:dyDescent="0.25">
      <c r="A49" s="3" t="s">
        <v>0</v>
      </c>
      <c r="B49" s="62">
        <f>+M27*R$50</f>
        <v>11783.2</v>
      </c>
      <c r="C49" s="63">
        <f t="shared" si="13"/>
        <v>11783.2</v>
      </c>
      <c r="D49" s="63">
        <f t="shared" si="13"/>
        <v>11783.2</v>
      </c>
      <c r="E49" s="63">
        <f t="shared" si="13"/>
        <v>11783.2</v>
      </c>
      <c r="F49" s="63">
        <f t="shared" si="13"/>
        <v>11783.2</v>
      </c>
      <c r="G49" s="63">
        <f t="shared" si="13"/>
        <v>11783.2</v>
      </c>
      <c r="H49" s="63">
        <f t="shared" si="13"/>
        <v>11783.2</v>
      </c>
      <c r="I49" s="63">
        <f t="shared" si="13"/>
        <v>11783.2</v>
      </c>
      <c r="J49" s="63">
        <f t="shared" si="13"/>
        <v>11783.2</v>
      </c>
      <c r="K49" s="63">
        <f t="shared" si="13"/>
        <v>11783.2</v>
      </c>
      <c r="L49" s="63">
        <f t="shared" si="13"/>
        <v>11783.2</v>
      </c>
      <c r="M49" s="63">
        <f t="shared" si="13"/>
        <v>11783.2</v>
      </c>
      <c r="N49" s="43">
        <f>SUM(B49:M49)</f>
        <v>141398.39999999999</v>
      </c>
      <c r="Q49" t="s">
        <v>65</v>
      </c>
      <c r="R49" t="s">
        <v>66</v>
      </c>
    </row>
    <row r="50" spans="1:18" x14ac:dyDescent="0.25">
      <c r="A50" s="3" t="s">
        <v>88</v>
      </c>
      <c r="B50" s="62">
        <f>+M28*R$50</f>
        <v>144.3442</v>
      </c>
      <c r="C50" s="63">
        <f t="shared" si="13"/>
        <v>144.3442</v>
      </c>
      <c r="D50" s="63">
        <f t="shared" si="13"/>
        <v>144.3442</v>
      </c>
      <c r="E50" s="63">
        <f t="shared" si="13"/>
        <v>144.3442</v>
      </c>
      <c r="F50" s="63">
        <f t="shared" si="13"/>
        <v>144.3442</v>
      </c>
      <c r="G50" s="63">
        <f t="shared" si="13"/>
        <v>144.3442</v>
      </c>
      <c r="H50" s="63">
        <f t="shared" si="13"/>
        <v>144.3442</v>
      </c>
      <c r="I50" s="63">
        <f t="shared" si="13"/>
        <v>144.3442</v>
      </c>
      <c r="J50" s="63">
        <f t="shared" si="13"/>
        <v>144.3442</v>
      </c>
      <c r="K50" s="63">
        <f t="shared" si="13"/>
        <v>144.3442</v>
      </c>
      <c r="L50" s="63">
        <f t="shared" si="13"/>
        <v>144.3442</v>
      </c>
      <c r="M50" s="63">
        <f t="shared" si="13"/>
        <v>144.3442</v>
      </c>
      <c r="N50" s="43">
        <f t="shared" ref="N50:N65" si="15">SUM(B50:M50)</f>
        <v>1732.1304</v>
      </c>
      <c r="Q50" s="44">
        <v>0.03</v>
      </c>
      <c r="R50" s="28">
        <f>+Q50+1</f>
        <v>1.03</v>
      </c>
    </row>
    <row r="51" spans="1:18" x14ac:dyDescent="0.25">
      <c r="A51" s="3" t="s">
        <v>1</v>
      </c>
      <c r="B51" s="62">
        <f t="shared" ref="B51:B60" si="16">+M29*R$50</f>
        <v>2503.9300000000003</v>
      </c>
      <c r="C51" s="63">
        <f t="shared" si="13"/>
        <v>2503.9300000000003</v>
      </c>
      <c r="D51" s="63">
        <f t="shared" si="13"/>
        <v>2503.9300000000003</v>
      </c>
      <c r="E51" s="63">
        <f t="shared" si="13"/>
        <v>2503.9300000000003</v>
      </c>
      <c r="F51" s="63">
        <f t="shared" si="13"/>
        <v>2503.9300000000003</v>
      </c>
      <c r="G51" s="63">
        <f t="shared" si="13"/>
        <v>2503.9300000000003</v>
      </c>
      <c r="H51" s="63">
        <f t="shared" si="13"/>
        <v>2503.9300000000003</v>
      </c>
      <c r="I51" s="63">
        <f t="shared" si="13"/>
        <v>2503.9300000000003</v>
      </c>
      <c r="J51" s="63">
        <f t="shared" si="13"/>
        <v>2503.9300000000003</v>
      </c>
      <c r="K51" s="63">
        <f t="shared" si="13"/>
        <v>2503.9300000000003</v>
      </c>
      <c r="L51" s="63">
        <f t="shared" si="13"/>
        <v>2503.9300000000003</v>
      </c>
      <c r="M51" s="63">
        <f t="shared" si="13"/>
        <v>2503.9300000000003</v>
      </c>
      <c r="N51" s="43">
        <f t="shared" si="15"/>
        <v>30047.160000000003</v>
      </c>
    </row>
    <row r="52" spans="1:18" x14ac:dyDescent="0.25">
      <c r="A52" s="3" t="s">
        <v>2</v>
      </c>
      <c r="B52" s="62">
        <f t="shared" si="16"/>
        <v>441.87</v>
      </c>
      <c r="C52" s="63">
        <f t="shared" si="13"/>
        <v>441.87</v>
      </c>
      <c r="D52" s="63">
        <f t="shared" si="13"/>
        <v>441.87</v>
      </c>
      <c r="E52" s="63">
        <f t="shared" si="13"/>
        <v>441.87</v>
      </c>
      <c r="F52" s="63">
        <f t="shared" si="13"/>
        <v>441.87</v>
      </c>
      <c r="G52" s="63">
        <f t="shared" si="13"/>
        <v>441.87</v>
      </c>
      <c r="H52" s="63">
        <f t="shared" si="13"/>
        <v>441.87</v>
      </c>
      <c r="I52" s="63">
        <f t="shared" si="13"/>
        <v>441.87</v>
      </c>
      <c r="J52" s="63">
        <f t="shared" si="13"/>
        <v>441.87</v>
      </c>
      <c r="K52" s="63">
        <f t="shared" si="13"/>
        <v>441.87</v>
      </c>
      <c r="L52" s="63">
        <f t="shared" si="13"/>
        <v>441.87</v>
      </c>
      <c r="M52" s="63">
        <f t="shared" si="13"/>
        <v>441.87</v>
      </c>
      <c r="N52" s="43">
        <f t="shared" si="15"/>
        <v>5302.44</v>
      </c>
    </row>
    <row r="53" spans="1:18" x14ac:dyDescent="0.25">
      <c r="A53" s="3" t="s">
        <v>3</v>
      </c>
      <c r="B53" s="62">
        <f t="shared" si="16"/>
        <v>176.74799999999999</v>
      </c>
      <c r="C53" s="63">
        <f t="shared" si="13"/>
        <v>176.74799999999999</v>
      </c>
      <c r="D53" s="63">
        <f t="shared" si="13"/>
        <v>176.74799999999999</v>
      </c>
      <c r="E53" s="63">
        <f t="shared" si="13"/>
        <v>176.74799999999999</v>
      </c>
      <c r="F53" s="63">
        <f t="shared" si="13"/>
        <v>176.74799999999999</v>
      </c>
      <c r="G53" s="63">
        <f t="shared" si="13"/>
        <v>176.74799999999999</v>
      </c>
      <c r="H53" s="63">
        <f t="shared" si="13"/>
        <v>176.74799999999999</v>
      </c>
      <c r="I53" s="63">
        <f t="shared" si="13"/>
        <v>176.74799999999999</v>
      </c>
      <c r="J53" s="63">
        <f t="shared" si="13"/>
        <v>176.74799999999999</v>
      </c>
      <c r="K53" s="63">
        <f t="shared" si="13"/>
        <v>176.74799999999999</v>
      </c>
      <c r="L53" s="63">
        <f t="shared" si="13"/>
        <v>176.74799999999999</v>
      </c>
      <c r="M53" s="63">
        <f t="shared" si="13"/>
        <v>176.74799999999999</v>
      </c>
      <c r="N53" s="43">
        <f t="shared" si="15"/>
        <v>2120.9760000000001</v>
      </c>
    </row>
    <row r="54" spans="1:18" x14ac:dyDescent="0.25">
      <c r="A54" s="3" t="s">
        <v>4</v>
      </c>
      <c r="B54" s="62">
        <f t="shared" si="16"/>
        <v>235.66399999999999</v>
      </c>
      <c r="C54" s="63">
        <f t="shared" si="13"/>
        <v>235.66399999999999</v>
      </c>
      <c r="D54" s="63">
        <f t="shared" si="13"/>
        <v>235.66399999999999</v>
      </c>
      <c r="E54" s="63">
        <f t="shared" si="13"/>
        <v>235.66399999999999</v>
      </c>
      <c r="F54" s="63">
        <f t="shared" si="13"/>
        <v>235.66399999999999</v>
      </c>
      <c r="G54" s="63">
        <f t="shared" si="13"/>
        <v>235.66399999999999</v>
      </c>
      <c r="H54" s="63">
        <f t="shared" si="13"/>
        <v>235.66399999999999</v>
      </c>
      <c r="I54" s="63">
        <f t="shared" si="13"/>
        <v>235.66399999999999</v>
      </c>
      <c r="J54" s="63">
        <f t="shared" si="13"/>
        <v>235.66399999999999</v>
      </c>
      <c r="K54" s="63">
        <f t="shared" si="13"/>
        <v>235.66399999999999</v>
      </c>
      <c r="L54" s="63">
        <f t="shared" si="13"/>
        <v>235.66399999999999</v>
      </c>
      <c r="M54" s="63">
        <f t="shared" si="13"/>
        <v>235.66399999999999</v>
      </c>
      <c r="N54" s="43">
        <f t="shared" si="15"/>
        <v>2827.9679999999989</v>
      </c>
    </row>
    <row r="55" spans="1:18" x14ac:dyDescent="0.25">
      <c r="A55" s="3" t="s">
        <v>5</v>
      </c>
      <c r="B55" s="62">
        <f t="shared" si="16"/>
        <v>441.87</v>
      </c>
      <c r="C55" s="63">
        <f t="shared" si="13"/>
        <v>441.87</v>
      </c>
      <c r="D55" s="63">
        <f t="shared" si="13"/>
        <v>441.87</v>
      </c>
      <c r="E55" s="63">
        <f t="shared" si="13"/>
        <v>441.87</v>
      </c>
      <c r="F55" s="63">
        <f t="shared" si="13"/>
        <v>441.87</v>
      </c>
      <c r="G55" s="63">
        <f t="shared" si="13"/>
        <v>441.87</v>
      </c>
      <c r="H55" s="63">
        <f t="shared" si="13"/>
        <v>441.87</v>
      </c>
      <c r="I55" s="63">
        <f t="shared" si="13"/>
        <v>441.87</v>
      </c>
      <c r="J55" s="63">
        <f t="shared" si="13"/>
        <v>441.87</v>
      </c>
      <c r="K55" s="63">
        <f t="shared" si="13"/>
        <v>441.87</v>
      </c>
      <c r="L55" s="63">
        <f t="shared" si="13"/>
        <v>441.87</v>
      </c>
      <c r="M55" s="63">
        <f t="shared" si="13"/>
        <v>441.87</v>
      </c>
      <c r="N55" s="43">
        <f t="shared" si="15"/>
        <v>5302.44</v>
      </c>
    </row>
    <row r="56" spans="1:18" x14ac:dyDescent="0.25">
      <c r="A56" s="3" t="s">
        <v>6</v>
      </c>
      <c r="B56" s="62">
        <f t="shared" si="16"/>
        <v>824.82399999999996</v>
      </c>
      <c r="C56" s="63">
        <f t="shared" si="13"/>
        <v>824.82399999999996</v>
      </c>
      <c r="D56" s="63">
        <f t="shared" si="13"/>
        <v>824.82399999999996</v>
      </c>
      <c r="E56" s="63">
        <f t="shared" si="13"/>
        <v>824.82399999999996</v>
      </c>
      <c r="F56" s="63">
        <f t="shared" si="13"/>
        <v>824.82399999999996</v>
      </c>
      <c r="G56" s="63">
        <f t="shared" si="13"/>
        <v>824.82399999999996</v>
      </c>
      <c r="H56" s="63">
        <f t="shared" si="13"/>
        <v>824.82399999999996</v>
      </c>
      <c r="I56" s="63">
        <f t="shared" si="13"/>
        <v>824.82399999999996</v>
      </c>
      <c r="J56" s="63">
        <f t="shared" si="13"/>
        <v>824.82399999999996</v>
      </c>
      <c r="K56" s="63">
        <f t="shared" si="13"/>
        <v>824.82399999999996</v>
      </c>
      <c r="L56" s="63">
        <f t="shared" si="13"/>
        <v>824.82399999999996</v>
      </c>
      <c r="M56" s="63">
        <f t="shared" si="13"/>
        <v>824.82399999999996</v>
      </c>
      <c r="N56" s="43">
        <f t="shared" si="15"/>
        <v>9897.887999999999</v>
      </c>
    </row>
    <row r="57" spans="1:18" x14ac:dyDescent="0.25">
      <c r="A57" s="3" t="s">
        <v>7</v>
      </c>
      <c r="B57" s="62">
        <f t="shared" si="16"/>
        <v>338.767</v>
      </c>
      <c r="C57" s="61">
        <f t="shared" si="13"/>
        <v>338.767</v>
      </c>
      <c r="D57" s="61">
        <f t="shared" si="13"/>
        <v>338.767</v>
      </c>
      <c r="E57" s="61">
        <f t="shared" si="13"/>
        <v>338.767</v>
      </c>
      <c r="F57" s="61">
        <f t="shared" si="13"/>
        <v>338.767</v>
      </c>
      <c r="G57" s="61">
        <f t="shared" si="13"/>
        <v>338.767</v>
      </c>
      <c r="H57" s="61">
        <f t="shared" si="13"/>
        <v>338.767</v>
      </c>
      <c r="I57" s="61">
        <f t="shared" si="13"/>
        <v>338.767</v>
      </c>
      <c r="J57" s="61">
        <f t="shared" si="13"/>
        <v>338.767</v>
      </c>
      <c r="K57" s="61">
        <f t="shared" si="13"/>
        <v>338.767</v>
      </c>
      <c r="L57" s="61">
        <f t="shared" si="13"/>
        <v>338.767</v>
      </c>
      <c r="M57" s="61">
        <f t="shared" si="13"/>
        <v>338.767</v>
      </c>
      <c r="N57" s="43">
        <f t="shared" si="15"/>
        <v>4065.2039999999993</v>
      </c>
    </row>
    <row r="58" spans="1:18" x14ac:dyDescent="0.25">
      <c r="A58" s="3" t="s">
        <v>8</v>
      </c>
      <c r="B58" s="62">
        <f t="shared" si="16"/>
        <v>1767.48</v>
      </c>
      <c r="C58" s="61">
        <f t="shared" si="13"/>
        <v>1767.48</v>
      </c>
      <c r="D58" s="61">
        <f t="shared" si="13"/>
        <v>1767.48</v>
      </c>
      <c r="E58" s="61">
        <f t="shared" si="13"/>
        <v>1767.48</v>
      </c>
      <c r="F58" s="61">
        <f t="shared" si="13"/>
        <v>1767.48</v>
      </c>
      <c r="G58" s="61">
        <f t="shared" si="13"/>
        <v>1767.48</v>
      </c>
      <c r="H58" s="61">
        <f t="shared" si="13"/>
        <v>1767.48</v>
      </c>
      <c r="I58" s="61">
        <f t="shared" si="13"/>
        <v>1767.48</v>
      </c>
      <c r="J58" s="61">
        <f t="shared" si="13"/>
        <v>1767.48</v>
      </c>
      <c r="K58" s="61">
        <f t="shared" si="13"/>
        <v>1767.48</v>
      </c>
      <c r="L58" s="61">
        <f t="shared" si="13"/>
        <v>1767.48</v>
      </c>
      <c r="M58" s="61">
        <f t="shared" si="13"/>
        <v>1767.48</v>
      </c>
      <c r="N58" s="43">
        <f t="shared" si="15"/>
        <v>21209.759999999998</v>
      </c>
    </row>
    <row r="59" spans="1:18" x14ac:dyDescent="0.25">
      <c r="A59" s="3" t="s">
        <v>9</v>
      </c>
      <c r="B59" s="62">
        <f t="shared" si="16"/>
        <v>1325.6100000000001</v>
      </c>
      <c r="C59" s="61">
        <f t="shared" si="13"/>
        <v>1325.6100000000001</v>
      </c>
      <c r="D59" s="61">
        <f t="shared" si="13"/>
        <v>1325.6100000000001</v>
      </c>
      <c r="E59" s="61">
        <f t="shared" si="13"/>
        <v>1325.6100000000001</v>
      </c>
      <c r="F59" s="61">
        <f t="shared" si="13"/>
        <v>1325.6100000000001</v>
      </c>
      <c r="G59" s="61">
        <f t="shared" si="13"/>
        <v>1325.6100000000001</v>
      </c>
      <c r="H59" s="61">
        <f t="shared" si="13"/>
        <v>1325.6100000000001</v>
      </c>
      <c r="I59" s="61">
        <f t="shared" si="13"/>
        <v>1325.6100000000001</v>
      </c>
      <c r="J59" s="61">
        <f t="shared" si="13"/>
        <v>1325.6100000000001</v>
      </c>
      <c r="K59" s="61">
        <f t="shared" si="13"/>
        <v>1325.6100000000001</v>
      </c>
      <c r="L59" s="61">
        <f t="shared" si="13"/>
        <v>1325.6100000000001</v>
      </c>
      <c r="M59" s="61">
        <f t="shared" si="13"/>
        <v>1325.6100000000001</v>
      </c>
      <c r="N59" s="43">
        <f t="shared" si="15"/>
        <v>15907.320000000005</v>
      </c>
    </row>
    <row r="60" spans="1:18" x14ac:dyDescent="0.25">
      <c r="A60" s="3" t="s">
        <v>10</v>
      </c>
      <c r="B60" s="62">
        <f t="shared" si="16"/>
        <v>4418.7</v>
      </c>
      <c r="C60" s="61">
        <f t="shared" si="13"/>
        <v>4418.7</v>
      </c>
      <c r="D60" s="61">
        <f t="shared" si="13"/>
        <v>4418.7</v>
      </c>
      <c r="E60" s="61">
        <f t="shared" si="13"/>
        <v>4418.7</v>
      </c>
      <c r="F60" s="61">
        <f t="shared" si="13"/>
        <v>4418.7</v>
      </c>
      <c r="G60" s="61">
        <f t="shared" si="13"/>
        <v>4418.7</v>
      </c>
      <c r="H60" s="61">
        <f t="shared" si="13"/>
        <v>4418.7</v>
      </c>
      <c r="I60" s="61">
        <f t="shared" si="13"/>
        <v>4418.7</v>
      </c>
      <c r="J60" s="61">
        <f t="shared" si="13"/>
        <v>4418.7</v>
      </c>
      <c r="K60" s="61">
        <f t="shared" si="13"/>
        <v>4418.7</v>
      </c>
      <c r="L60" s="61">
        <f t="shared" si="13"/>
        <v>4418.7</v>
      </c>
      <c r="M60" s="61">
        <f t="shared" si="13"/>
        <v>4418.7</v>
      </c>
      <c r="N60" s="43">
        <f t="shared" si="15"/>
        <v>53024.399999999987</v>
      </c>
    </row>
    <row r="61" spans="1:18" s="140" customFormat="1" x14ac:dyDescent="0.25">
      <c r="A61" s="59" t="s">
        <v>95</v>
      </c>
      <c r="B61" s="139">
        <f>B39+B39*0.1</f>
        <v>471.9</v>
      </c>
      <c r="C61" s="139">
        <f t="shared" si="13"/>
        <v>471.9</v>
      </c>
      <c r="D61" s="139">
        <f t="shared" si="13"/>
        <v>471.9</v>
      </c>
      <c r="E61" s="139">
        <f t="shared" si="13"/>
        <v>471.9</v>
      </c>
      <c r="F61" s="139">
        <f t="shared" si="13"/>
        <v>471.9</v>
      </c>
      <c r="G61" s="139">
        <f t="shared" si="13"/>
        <v>471.9</v>
      </c>
      <c r="H61" s="139">
        <f t="shared" si="13"/>
        <v>471.9</v>
      </c>
      <c r="I61" s="139">
        <f t="shared" si="13"/>
        <v>471.9</v>
      </c>
      <c r="J61" s="139">
        <f t="shared" si="13"/>
        <v>471.9</v>
      </c>
      <c r="K61" s="139">
        <f t="shared" si="13"/>
        <v>471.9</v>
      </c>
      <c r="L61" s="139">
        <f t="shared" si="13"/>
        <v>471.9</v>
      </c>
      <c r="M61" s="139">
        <f t="shared" si="13"/>
        <v>471.9</v>
      </c>
      <c r="N61" s="59">
        <f t="shared" si="15"/>
        <v>5662.7999999999993</v>
      </c>
    </row>
    <row r="62" spans="1:1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3">
        <f t="shared" si="15"/>
        <v>0</v>
      </c>
    </row>
    <row r="63" spans="1:1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43">
        <f t="shared" si="15"/>
        <v>0</v>
      </c>
    </row>
    <row r="64" spans="1:18" ht="15.75" thickBot="1" x14ac:dyDescent="0.3">
      <c r="A64" s="7"/>
      <c r="B64" s="7"/>
      <c r="C64" s="7"/>
      <c r="D64" s="7"/>
      <c r="E64" s="65"/>
      <c r="F64" s="65"/>
      <c r="G64" s="65"/>
      <c r="H64" s="65"/>
      <c r="I64" s="65"/>
      <c r="J64" s="65"/>
      <c r="K64" s="65"/>
      <c r="L64" s="65"/>
      <c r="M64" s="65"/>
      <c r="N64" s="59">
        <f t="shared" si="15"/>
        <v>0</v>
      </c>
    </row>
    <row r="65" spans="1:18" ht="18.75" thickBot="1" x14ac:dyDescent="0.3">
      <c r="A65" s="60" t="s">
        <v>30</v>
      </c>
      <c r="B65" s="42">
        <f t="shared" ref="B65:M65" si="17">SUM(B47:B64)</f>
        <v>30766.507200000004</v>
      </c>
      <c r="C65" s="42">
        <f t="shared" si="17"/>
        <v>30766.507200000004</v>
      </c>
      <c r="D65" s="42">
        <f t="shared" si="17"/>
        <v>30766.507200000004</v>
      </c>
      <c r="E65" s="58">
        <f t="shared" si="17"/>
        <v>30766.507200000004</v>
      </c>
      <c r="F65" s="58">
        <f t="shared" si="17"/>
        <v>30766.507200000004</v>
      </c>
      <c r="G65" s="58">
        <f t="shared" si="17"/>
        <v>30766.507200000004</v>
      </c>
      <c r="H65" s="58">
        <f t="shared" si="17"/>
        <v>30766.507200000004</v>
      </c>
      <c r="I65" s="58">
        <f t="shared" si="17"/>
        <v>30766.507200000004</v>
      </c>
      <c r="J65" s="58">
        <f t="shared" si="17"/>
        <v>30766.507200000004</v>
      </c>
      <c r="K65" s="58">
        <f t="shared" si="17"/>
        <v>30766.507200000004</v>
      </c>
      <c r="L65" s="58">
        <f t="shared" si="17"/>
        <v>30766.507200000004</v>
      </c>
      <c r="M65" s="58">
        <f t="shared" si="17"/>
        <v>30766.507200000004</v>
      </c>
      <c r="N65" s="59">
        <f t="shared" si="15"/>
        <v>369198.08639999997</v>
      </c>
    </row>
    <row r="67" spans="1:18" ht="15.75" thickBot="1" x14ac:dyDescent="0.3"/>
    <row r="68" spans="1:18" ht="16.5" thickBot="1" x14ac:dyDescent="0.3">
      <c r="A68" s="3"/>
      <c r="B68" s="168" t="s">
        <v>138</v>
      </c>
      <c r="C68" s="168" t="s">
        <v>139</v>
      </c>
      <c r="D68" s="168" t="s">
        <v>140</v>
      </c>
      <c r="E68" s="168" t="s">
        <v>141</v>
      </c>
      <c r="F68" s="168" t="s">
        <v>142</v>
      </c>
      <c r="G68" s="168" t="s">
        <v>143</v>
      </c>
      <c r="H68" s="168" t="s">
        <v>144</v>
      </c>
      <c r="I68" s="168" t="s">
        <v>145</v>
      </c>
      <c r="J68" s="168" t="s">
        <v>146</v>
      </c>
      <c r="K68" s="168" t="s">
        <v>147</v>
      </c>
      <c r="L68" s="168" t="s">
        <v>148</v>
      </c>
      <c r="M68" s="168" t="s">
        <v>149</v>
      </c>
      <c r="N68" s="4" t="s">
        <v>31</v>
      </c>
    </row>
    <row r="69" spans="1:18" s="140" customFormat="1" x14ac:dyDescent="0.25">
      <c r="A69" s="59" t="s">
        <v>11</v>
      </c>
      <c r="B69" s="141">
        <f t="shared" ref="B69:B82" si="18">+M47*R$72</f>
        <v>3774.3062499999996</v>
      </c>
      <c r="C69" s="59">
        <f t="shared" ref="C69:M83" si="19">+B69</f>
        <v>3774.3062499999996</v>
      </c>
      <c r="D69" s="59">
        <f t="shared" si="19"/>
        <v>3774.3062499999996</v>
      </c>
      <c r="E69" s="59">
        <f t="shared" si="19"/>
        <v>3774.3062499999996</v>
      </c>
      <c r="F69" s="59">
        <f t="shared" si="19"/>
        <v>3774.3062499999996</v>
      </c>
      <c r="G69" s="59">
        <f t="shared" si="19"/>
        <v>3774.3062499999996</v>
      </c>
      <c r="H69" s="59">
        <f t="shared" si="19"/>
        <v>3774.3062499999996</v>
      </c>
      <c r="I69" s="59">
        <f t="shared" si="19"/>
        <v>3774.3062499999996</v>
      </c>
      <c r="J69" s="59">
        <f t="shared" si="19"/>
        <v>3774.3062499999996</v>
      </c>
      <c r="K69" s="59">
        <f t="shared" si="19"/>
        <v>3774.3062499999996</v>
      </c>
      <c r="L69" s="59">
        <f t="shared" si="19"/>
        <v>3774.3062499999996</v>
      </c>
      <c r="M69" s="59">
        <f t="shared" si="19"/>
        <v>3774.3062499999996</v>
      </c>
      <c r="N69" s="59">
        <f t="shared" ref="N69:N70" si="20">SUM(B69:M69)</f>
        <v>45291.67500000001</v>
      </c>
    </row>
    <row r="70" spans="1:18" s="140" customFormat="1" x14ac:dyDescent="0.25">
      <c r="A70" s="59" t="s">
        <v>12</v>
      </c>
      <c r="B70" s="141">
        <f t="shared" si="18"/>
        <v>2264.5837499999998</v>
      </c>
      <c r="C70" s="59">
        <f t="shared" si="19"/>
        <v>2264.5837499999998</v>
      </c>
      <c r="D70" s="59">
        <f t="shared" si="19"/>
        <v>2264.5837499999998</v>
      </c>
      <c r="E70" s="59">
        <f t="shared" si="19"/>
        <v>2264.5837499999998</v>
      </c>
      <c r="F70" s="59">
        <f t="shared" si="19"/>
        <v>2264.5837499999998</v>
      </c>
      <c r="G70" s="59">
        <f t="shared" si="19"/>
        <v>2264.5837499999998</v>
      </c>
      <c r="H70" s="59">
        <f t="shared" si="19"/>
        <v>2264.5837499999998</v>
      </c>
      <c r="I70" s="59">
        <f t="shared" si="19"/>
        <v>2264.5837499999998</v>
      </c>
      <c r="J70" s="59">
        <f t="shared" si="19"/>
        <v>2264.5837499999998</v>
      </c>
      <c r="K70" s="59">
        <f t="shared" si="19"/>
        <v>2264.5837499999998</v>
      </c>
      <c r="L70" s="59">
        <f t="shared" si="19"/>
        <v>2264.5837499999998</v>
      </c>
      <c r="M70" s="59">
        <f t="shared" si="19"/>
        <v>2264.5837499999998</v>
      </c>
      <c r="N70" s="59">
        <f t="shared" si="20"/>
        <v>27175.00499999999</v>
      </c>
    </row>
    <row r="71" spans="1:18" s="140" customFormat="1" x14ac:dyDescent="0.25">
      <c r="A71" s="59" t="s">
        <v>0</v>
      </c>
      <c r="B71" s="141">
        <f t="shared" si="18"/>
        <v>12077.779999999999</v>
      </c>
      <c r="C71" s="59">
        <f t="shared" si="19"/>
        <v>12077.779999999999</v>
      </c>
      <c r="D71" s="59">
        <f t="shared" si="19"/>
        <v>12077.779999999999</v>
      </c>
      <c r="E71" s="59">
        <f t="shared" si="19"/>
        <v>12077.779999999999</v>
      </c>
      <c r="F71" s="59">
        <f t="shared" si="19"/>
        <v>12077.779999999999</v>
      </c>
      <c r="G71" s="59">
        <f t="shared" si="19"/>
        <v>12077.779999999999</v>
      </c>
      <c r="H71" s="59">
        <f t="shared" si="19"/>
        <v>12077.779999999999</v>
      </c>
      <c r="I71" s="59">
        <f t="shared" si="19"/>
        <v>12077.779999999999</v>
      </c>
      <c r="J71" s="59">
        <f t="shared" si="19"/>
        <v>12077.779999999999</v>
      </c>
      <c r="K71" s="59">
        <f t="shared" si="19"/>
        <v>12077.779999999999</v>
      </c>
      <c r="L71" s="59">
        <f t="shared" si="19"/>
        <v>12077.779999999999</v>
      </c>
      <c r="M71" s="59">
        <f t="shared" si="19"/>
        <v>12077.779999999999</v>
      </c>
      <c r="N71" s="59">
        <f>SUM(B71:M71)</f>
        <v>144933.35999999999</v>
      </c>
      <c r="Q71" s="140" t="s">
        <v>65</v>
      </c>
      <c r="R71" s="140" t="s">
        <v>66</v>
      </c>
    </row>
    <row r="72" spans="1:18" s="140" customFormat="1" x14ac:dyDescent="0.25">
      <c r="A72" s="59" t="s">
        <v>88</v>
      </c>
      <c r="B72" s="141">
        <f>+M50*R$72</f>
        <v>147.95280499999998</v>
      </c>
      <c r="C72" s="59">
        <f t="shared" si="19"/>
        <v>147.95280499999998</v>
      </c>
      <c r="D72" s="59">
        <f t="shared" si="19"/>
        <v>147.95280499999998</v>
      </c>
      <c r="E72" s="59">
        <f t="shared" si="19"/>
        <v>147.95280499999998</v>
      </c>
      <c r="F72" s="59">
        <f t="shared" si="19"/>
        <v>147.95280499999998</v>
      </c>
      <c r="G72" s="59">
        <f t="shared" si="19"/>
        <v>147.95280499999998</v>
      </c>
      <c r="H72" s="59">
        <f t="shared" si="19"/>
        <v>147.95280499999998</v>
      </c>
      <c r="I72" s="59">
        <f t="shared" si="19"/>
        <v>147.95280499999998</v>
      </c>
      <c r="J72" s="59">
        <f t="shared" si="19"/>
        <v>147.95280499999998</v>
      </c>
      <c r="K72" s="59">
        <f t="shared" si="19"/>
        <v>147.95280499999998</v>
      </c>
      <c r="L72" s="59">
        <f t="shared" si="19"/>
        <v>147.95280499999998</v>
      </c>
      <c r="M72" s="59">
        <f t="shared" si="19"/>
        <v>147.95280499999998</v>
      </c>
      <c r="N72" s="59">
        <f t="shared" ref="N72:N87" si="21">SUM(B72:M72)</f>
        <v>1775.4336599999995</v>
      </c>
      <c r="Q72" s="140">
        <v>2.5000000000000001E-2</v>
      </c>
      <c r="R72" s="140">
        <f>+Q72+1</f>
        <v>1.0249999999999999</v>
      </c>
    </row>
    <row r="73" spans="1:18" s="140" customFormat="1" x14ac:dyDescent="0.25">
      <c r="A73" s="59" t="s">
        <v>1</v>
      </c>
      <c r="B73" s="141">
        <f t="shared" si="18"/>
        <v>2566.5282500000003</v>
      </c>
      <c r="C73" s="59">
        <f t="shared" si="19"/>
        <v>2566.5282500000003</v>
      </c>
      <c r="D73" s="59">
        <f t="shared" si="19"/>
        <v>2566.5282500000003</v>
      </c>
      <c r="E73" s="59">
        <f t="shared" si="19"/>
        <v>2566.5282500000003</v>
      </c>
      <c r="F73" s="59">
        <f t="shared" si="19"/>
        <v>2566.5282500000003</v>
      </c>
      <c r="G73" s="59">
        <f t="shared" si="19"/>
        <v>2566.5282500000003</v>
      </c>
      <c r="H73" s="59">
        <f t="shared" si="19"/>
        <v>2566.5282500000003</v>
      </c>
      <c r="I73" s="59">
        <f t="shared" si="19"/>
        <v>2566.5282500000003</v>
      </c>
      <c r="J73" s="59">
        <f t="shared" si="19"/>
        <v>2566.5282500000003</v>
      </c>
      <c r="K73" s="59">
        <f t="shared" si="19"/>
        <v>2566.5282500000003</v>
      </c>
      <c r="L73" s="59">
        <f t="shared" si="19"/>
        <v>2566.5282500000003</v>
      </c>
      <c r="M73" s="59">
        <f t="shared" si="19"/>
        <v>2566.5282500000003</v>
      </c>
      <c r="N73" s="59">
        <f t="shared" si="21"/>
        <v>30798.338999999996</v>
      </c>
    </row>
    <row r="74" spans="1:18" s="140" customFormat="1" x14ac:dyDescent="0.25">
      <c r="A74" s="59" t="s">
        <v>2</v>
      </c>
      <c r="B74" s="141">
        <f t="shared" si="18"/>
        <v>452.91674999999998</v>
      </c>
      <c r="C74" s="59">
        <f t="shared" si="19"/>
        <v>452.91674999999998</v>
      </c>
      <c r="D74" s="59">
        <f t="shared" si="19"/>
        <v>452.91674999999998</v>
      </c>
      <c r="E74" s="59">
        <f t="shared" si="19"/>
        <v>452.91674999999998</v>
      </c>
      <c r="F74" s="59">
        <f t="shared" si="19"/>
        <v>452.91674999999998</v>
      </c>
      <c r="G74" s="59">
        <f t="shared" si="19"/>
        <v>452.91674999999998</v>
      </c>
      <c r="H74" s="59">
        <f t="shared" si="19"/>
        <v>452.91674999999998</v>
      </c>
      <c r="I74" s="59">
        <f t="shared" si="19"/>
        <v>452.91674999999998</v>
      </c>
      <c r="J74" s="59">
        <f t="shared" si="19"/>
        <v>452.91674999999998</v>
      </c>
      <c r="K74" s="59">
        <f t="shared" si="19"/>
        <v>452.91674999999998</v>
      </c>
      <c r="L74" s="59">
        <f t="shared" si="19"/>
        <v>452.91674999999998</v>
      </c>
      <c r="M74" s="59">
        <f t="shared" si="19"/>
        <v>452.91674999999998</v>
      </c>
      <c r="N74" s="59">
        <f t="shared" si="21"/>
        <v>5435.0010000000002</v>
      </c>
    </row>
    <row r="75" spans="1:18" s="140" customFormat="1" x14ac:dyDescent="0.25">
      <c r="A75" s="59" t="s">
        <v>3</v>
      </c>
      <c r="B75" s="141">
        <f t="shared" si="18"/>
        <v>181.16669999999996</v>
      </c>
      <c r="C75" s="59">
        <f t="shared" si="19"/>
        <v>181.16669999999996</v>
      </c>
      <c r="D75" s="59">
        <f t="shared" si="19"/>
        <v>181.16669999999996</v>
      </c>
      <c r="E75" s="59">
        <f t="shared" si="19"/>
        <v>181.16669999999996</v>
      </c>
      <c r="F75" s="59">
        <f t="shared" si="19"/>
        <v>181.16669999999996</v>
      </c>
      <c r="G75" s="59">
        <f t="shared" si="19"/>
        <v>181.16669999999996</v>
      </c>
      <c r="H75" s="59">
        <f t="shared" si="19"/>
        <v>181.16669999999996</v>
      </c>
      <c r="I75" s="59">
        <f t="shared" si="19"/>
        <v>181.16669999999996</v>
      </c>
      <c r="J75" s="59">
        <f t="shared" si="19"/>
        <v>181.16669999999996</v>
      </c>
      <c r="K75" s="59">
        <f t="shared" si="19"/>
        <v>181.16669999999996</v>
      </c>
      <c r="L75" s="59">
        <f t="shared" si="19"/>
        <v>181.16669999999996</v>
      </c>
      <c r="M75" s="59">
        <f t="shared" si="19"/>
        <v>181.16669999999996</v>
      </c>
      <c r="N75" s="59">
        <f t="shared" si="21"/>
        <v>2174.0003999999994</v>
      </c>
    </row>
    <row r="76" spans="1:18" s="140" customFormat="1" x14ac:dyDescent="0.25">
      <c r="A76" s="59" t="s">
        <v>4</v>
      </c>
      <c r="B76" s="141">
        <f t="shared" si="18"/>
        <v>241.55559999999997</v>
      </c>
      <c r="C76" s="59">
        <f t="shared" si="19"/>
        <v>241.55559999999997</v>
      </c>
      <c r="D76" s="59">
        <f t="shared" si="19"/>
        <v>241.55559999999997</v>
      </c>
      <c r="E76" s="59">
        <f t="shared" si="19"/>
        <v>241.55559999999997</v>
      </c>
      <c r="F76" s="59">
        <f t="shared" si="19"/>
        <v>241.55559999999997</v>
      </c>
      <c r="G76" s="59">
        <f t="shared" si="19"/>
        <v>241.55559999999997</v>
      </c>
      <c r="H76" s="59">
        <f t="shared" si="19"/>
        <v>241.55559999999997</v>
      </c>
      <c r="I76" s="59">
        <f t="shared" si="19"/>
        <v>241.55559999999997</v>
      </c>
      <c r="J76" s="59">
        <f t="shared" si="19"/>
        <v>241.55559999999997</v>
      </c>
      <c r="K76" s="59">
        <f t="shared" si="19"/>
        <v>241.55559999999997</v>
      </c>
      <c r="L76" s="59">
        <f t="shared" si="19"/>
        <v>241.55559999999997</v>
      </c>
      <c r="M76" s="59">
        <f t="shared" si="19"/>
        <v>241.55559999999997</v>
      </c>
      <c r="N76" s="59">
        <f t="shared" si="21"/>
        <v>2898.6671999999999</v>
      </c>
    </row>
    <row r="77" spans="1:18" s="140" customFormat="1" x14ac:dyDescent="0.25">
      <c r="A77" s="59" t="s">
        <v>5</v>
      </c>
      <c r="B77" s="141">
        <f t="shared" si="18"/>
        <v>452.91674999999998</v>
      </c>
      <c r="C77" s="59">
        <f t="shared" si="19"/>
        <v>452.91674999999998</v>
      </c>
      <c r="D77" s="59">
        <f t="shared" si="19"/>
        <v>452.91674999999998</v>
      </c>
      <c r="E77" s="59">
        <f t="shared" si="19"/>
        <v>452.91674999999998</v>
      </c>
      <c r="F77" s="59">
        <f t="shared" si="19"/>
        <v>452.91674999999998</v>
      </c>
      <c r="G77" s="59">
        <f t="shared" si="19"/>
        <v>452.91674999999998</v>
      </c>
      <c r="H77" s="59">
        <f t="shared" si="19"/>
        <v>452.91674999999998</v>
      </c>
      <c r="I77" s="59">
        <f t="shared" si="19"/>
        <v>452.91674999999998</v>
      </c>
      <c r="J77" s="59">
        <f t="shared" si="19"/>
        <v>452.91674999999998</v>
      </c>
      <c r="K77" s="59">
        <f t="shared" si="19"/>
        <v>452.91674999999998</v>
      </c>
      <c r="L77" s="59">
        <f t="shared" si="19"/>
        <v>452.91674999999998</v>
      </c>
      <c r="M77" s="59">
        <f t="shared" si="19"/>
        <v>452.91674999999998</v>
      </c>
      <c r="N77" s="59">
        <f t="shared" si="21"/>
        <v>5435.0010000000002</v>
      </c>
    </row>
    <row r="78" spans="1:18" s="140" customFormat="1" x14ac:dyDescent="0.25">
      <c r="A78" s="59" t="s">
        <v>6</v>
      </c>
      <c r="B78" s="141">
        <f t="shared" si="18"/>
        <v>845.44459999999992</v>
      </c>
      <c r="C78" s="59">
        <f t="shared" si="19"/>
        <v>845.44459999999992</v>
      </c>
      <c r="D78" s="59">
        <f t="shared" si="19"/>
        <v>845.44459999999992</v>
      </c>
      <c r="E78" s="59">
        <f t="shared" si="19"/>
        <v>845.44459999999992</v>
      </c>
      <c r="F78" s="59">
        <f t="shared" si="19"/>
        <v>845.44459999999992</v>
      </c>
      <c r="G78" s="59">
        <f t="shared" si="19"/>
        <v>845.44459999999992</v>
      </c>
      <c r="H78" s="59">
        <f t="shared" si="19"/>
        <v>845.44459999999992</v>
      </c>
      <c r="I78" s="59">
        <f t="shared" si="19"/>
        <v>845.44459999999992</v>
      </c>
      <c r="J78" s="59">
        <f t="shared" si="19"/>
        <v>845.44459999999992</v>
      </c>
      <c r="K78" s="59">
        <f t="shared" si="19"/>
        <v>845.44459999999992</v>
      </c>
      <c r="L78" s="59">
        <f t="shared" si="19"/>
        <v>845.44459999999992</v>
      </c>
      <c r="M78" s="59">
        <f t="shared" si="19"/>
        <v>845.44459999999992</v>
      </c>
      <c r="N78" s="59">
        <f t="shared" si="21"/>
        <v>10145.335200000001</v>
      </c>
    </row>
    <row r="79" spans="1:18" s="140" customFormat="1" x14ac:dyDescent="0.25">
      <c r="A79" s="59" t="s">
        <v>7</v>
      </c>
      <c r="B79" s="141">
        <f t="shared" si="18"/>
        <v>347.23617499999995</v>
      </c>
      <c r="C79" s="59">
        <f t="shared" si="19"/>
        <v>347.23617499999995</v>
      </c>
      <c r="D79" s="59">
        <f t="shared" si="19"/>
        <v>347.23617499999995</v>
      </c>
      <c r="E79" s="59">
        <f t="shared" si="19"/>
        <v>347.23617499999995</v>
      </c>
      <c r="F79" s="59">
        <f t="shared" si="19"/>
        <v>347.23617499999995</v>
      </c>
      <c r="G79" s="59">
        <f t="shared" si="19"/>
        <v>347.23617499999995</v>
      </c>
      <c r="H79" s="59">
        <f t="shared" si="19"/>
        <v>347.23617499999995</v>
      </c>
      <c r="I79" s="59">
        <f t="shared" si="19"/>
        <v>347.23617499999995</v>
      </c>
      <c r="J79" s="59">
        <f t="shared" si="19"/>
        <v>347.23617499999995</v>
      </c>
      <c r="K79" s="59">
        <f t="shared" si="19"/>
        <v>347.23617499999995</v>
      </c>
      <c r="L79" s="59">
        <f t="shared" si="19"/>
        <v>347.23617499999995</v>
      </c>
      <c r="M79" s="59">
        <f t="shared" si="19"/>
        <v>347.23617499999995</v>
      </c>
      <c r="N79" s="59">
        <f t="shared" si="21"/>
        <v>4166.8340999999991</v>
      </c>
    </row>
    <row r="80" spans="1:18" s="140" customFormat="1" x14ac:dyDescent="0.25">
      <c r="A80" s="59" t="s">
        <v>8</v>
      </c>
      <c r="B80" s="141">
        <f t="shared" si="18"/>
        <v>1811.6669999999999</v>
      </c>
      <c r="C80" s="59">
        <f t="shared" si="19"/>
        <v>1811.6669999999999</v>
      </c>
      <c r="D80" s="59">
        <f t="shared" si="19"/>
        <v>1811.6669999999999</v>
      </c>
      <c r="E80" s="59">
        <f t="shared" si="19"/>
        <v>1811.6669999999999</v>
      </c>
      <c r="F80" s="59">
        <f t="shared" si="19"/>
        <v>1811.6669999999999</v>
      </c>
      <c r="G80" s="59">
        <f t="shared" si="19"/>
        <v>1811.6669999999999</v>
      </c>
      <c r="H80" s="59">
        <f t="shared" si="19"/>
        <v>1811.6669999999999</v>
      </c>
      <c r="I80" s="59">
        <f t="shared" si="19"/>
        <v>1811.6669999999999</v>
      </c>
      <c r="J80" s="59">
        <f t="shared" si="19"/>
        <v>1811.6669999999999</v>
      </c>
      <c r="K80" s="59">
        <f t="shared" si="19"/>
        <v>1811.6669999999999</v>
      </c>
      <c r="L80" s="59">
        <f t="shared" si="19"/>
        <v>1811.6669999999999</v>
      </c>
      <c r="M80" s="59">
        <f t="shared" si="19"/>
        <v>1811.6669999999999</v>
      </c>
      <c r="N80" s="59">
        <f t="shared" si="21"/>
        <v>21740.004000000001</v>
      </c>
    </row>
    <row r="81" spans="1:18" s="140" customFormat="1" x14ac:dyDescent="0.25">
      <c r="A81" s="59" t="s">
        <v>9</v>
      </c>
      <c r="B81" s="141">
        <f t="shared" si="18"/>
        <v>1358.7502500000001</v>
      </c>
      <c r="C81" s="59">
        <f t="shared" si="19"/>
        <v>1358.7502500000001</v>
      </c>
      <c r="D81" s="59">
        <f t="shared" si="19"/>
        <v>1358.7502500000001</v>
      </c>
      <c r="E81" s="59">
        <f t="shared" si="19"/>
        <v>1358.7502500000001</v>
      </c>
      <c r="F81" s="59">
        <f t="shared" si="19"/>
        <v>1358.7502500000001</v>
      </c>
      <c r="G81" s="59">
        <f t="shared" si="19"/>
        <v>1358.7502500000001</v>
      </c>
      <c r="H81" s="59">
        <f t="shared" si="19"/>
        <v>1358.7502500000001</v>
      </c>
      <c r="I81" s="59">
        <f t="shared" si="19"/>
        <v>1358.7502500000001</v>
      </c>
      <c r="J81" s="59">
        <f t="shared" si="19"/>
        <v>1358.7502500000001</v>
      </c>
      <c r="K81" s="59">
        <f t="shared" si="19"/>
        <v>1358.7502500000001</v>
      </c>
      <c r="L81" s="59">
        <f t="shared" si="19"/>
        <v>1358.7502500000001</v>
      </c>
      <c r="M81" s="59">
        <f t="shared" si="19"/>
        <v>1358.7502500000001</v>
      </c>
      <c r="N81" s="59">
        <f t="shared" si="21"/>
        <v>16305.003000000004</v>
      </c>
    </row>
    <row r="82" spans="1:18" s="140" customFormat="1" x14ac:dyDescent="0.25">
      <c r="A82" s="59" t="s">
        <v>10</v>
      </c>
      <c r="B82" s="141">
        <f t="shared" si="18"/>
        <v>4529.1674999999996</v>
      </c>
      <c r="C82" s="59">
        <f t="shared" si="19"/>
        <v>4529.1674999999996</v>
      </c>
      <c r="D82" s="59">
        <f t="shared" si="19"/>
        <v>4529.1674999999996</v>
      </c>
      <c r="E82" s="59">
        <f t="shared" si="19"/>
        <v>4529.1674999999996</v>
      </c>
      <c r="F82" s="59">
        <f t="shared" si="19"/>
        <v>4529.1674999999996</v>
      </c>
      <c r="G82" s="59">
        <f t="shared" si="19"/>
        <v>4529.1674999999996</v>
      </c>
      <c r="H82" s="59">
        <f t="shared" si="19"/>
        <v>4529.1674999999996</v>
      </c>
      <c r="I82" s="59">
        <f t="shared" si="19"/>
        <v>4529.1674999999996</v>
      </c>
      <c r="J82" s="59">
        <f t="shared" si="19"/>
        <v>4529.1674999999996</v>
      </c>
      <c r="K82" s="59">
        <f t="shared" si="19"/>
        <v>4529.1674999999996</v>
      </c>
      <c r="L82" s="59">
        <f t="shared" si="19"/>
        <v>4529.1674999999996</v>
      </c>
      <c r="M82" s="59">
        <f t="shared" si="19"/>
        <v>4529.1674999999996</v>
      </c>
      <c r="N82" s="59">
        <f t="shared" si="21"/>
        <v>54350.00999999998</v>
      </c>
    </row>
    <row r="83" spans="1:18" s="140" customFormat="1" x14ac:dyDescent="0.25">
      <c r="A83" s="59" t="s">
        <v>95</v>
      </c>
      <c r="B83" s="59">
        <f>B61+B61*0.1</f>
        <v>519.08999999999992</v>
      </c>
      <c r="C83" s="59">
        <f t="shared" si="19"/>
        <v>519.08999999999992</v>
      </c>
      <c r="D83" s="59">
        <f t="shared" si="19"/>
        <v>519.08999999999992</v>
      </c>
      <c r="E83" s="59">
        <f t="shared" si="19"/>
        <v>519.08999999999992</v>
      </c>
      <c r="F83" s="59">
        <f t="shared" si="19"/>
        <v>519.08999999999992</v>
      </c>
      <c r="G83" s="59">
        <f t="shared" si="19"/>
        <v>519.08999999999992</v>
      </c>
      <c r="H83" s="59">
        <f t="shared" si="19"/>
        <v>519.08999999999992</v>
      </c>
      <c r="I83" s="59">
        <f t="shared" si="19"/>
        <v>519.08999999999992</v>
      </c>
      <c r="J83" s="59">
        <f t="shared" si="19"/>
        <v>519.08999999999992</v>
      </c>
      <c r="K83" s="59">
        <f t="shared" si="19"/>
        <v>519.08999999999992</v>
      </c>
      <c r="L83" s="59">
        <f t="shared" si="19"/>
        <v>519.08999999999992</v>
      </c>
      <c r="M83" s="59">
        <f t="shared" si="19"/>
        <v>519.08999999999992</v>
      </c>
      <c r="N83" s="59">
        <f t="shared" si="21"/>
        <v>6229.0800000000008</v>
      </c>
    </row>
    <row r="84" spans="1:18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43">
        <f t="shared" si="21"/>
        <v>0</v>
      </c>
    </row>
    <row r="85" spans="1:18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43">
        <f t="shared" si="21"/>
        <v>0</v>
      </c>
    </row>
    <row r="86" spans="1:18" ht="15.75" thickBot="1" x14ac:dyDescent="0.3">
      <c r="A86" s="7"/>
      <c r="B86" s="7"/>
      <c r="C86" s="7"/>
      <c r="D86" s="7"/>
      <c r="E86" s="65"/>
      <c r="F86" s="65"/>
      <c r="G86" s="65"/>
      <c r="H86" s="65"/>
      <c r="I86" s="65"/>
      <c r="J86" s="65"/>
      <c r="K86" s="65"/>
      <c r="L86" s="65"/>
      <c r="M86" s="65"/>
      <c r="N86" s="59">
        <f t="shared" si="21"/>
        <v>0</v>
      </c>
    </row>
    <row r="87" spans="1:18" ht="18.75" thickBot="1" x14ac:dyDescent="0.3">
      <c r="A87" s="60" t="s">
        <v>30</v>
      </c>
      <c r="B87" s="42">
        <f t="shared" ref="B87:M87" si="22">SUM(B69:B86)</f>
        <v>31571.062379999999</v>
      </c>
      <c r="C87" s="42">
        <f t="shared" si="22"/>
        <v>31571.062379999999</v>
      </c>
      <c r="D87" s="42">
        <f t="shared" si="22"/>
        <v>31571.062379999999</v>
      </c>
      <c r="E87" s="58">
        <f t="shared" si="22"/>
        <v>31571.062379999999</v>
      </c>
      <c r="F87" s="58">
        <f t="shared" si="22"/>
        <v>31571.062379999999</v>
      </c>
      <c r="G87" s="58">
        <f t="shared" si="22"/>
        <v>31571.062379999999</v>
      </c>
      <c r="H87" s="58">
        <f t="shared" si="22"/>
        <v>31571.062379999999</v>
      </c>
      <c r="I87" s="58">
        <f t="shared" si="22"/>
        <v>31571.062379999999</v>
      </c>
      <c r="J87" s="58">
        <f t="shared" si="22"/>
        <v>31571.062379999999</v>
      </c>
      <c r="K87" s="58">
        <f t="shared" si="22"/>
        <v>31571.062379999999</v>
      </c>
      <c r="L87" s="58">
        <f t="shared" si="22"/>
        <v>31571.062379999999</v>
      </c>
      <c r="M87" s="58">
        <f t="shared" si="22"/>
        <v>31571.062379999999</v>
      </c>
      <c r="N87" s="59">
        <f t="shared" si="21"/>
        <v>378852.74856000004</v>
      </c>
    </row>
    <row r="89" spans="1:18" ht="15.75" thickBot="1" x14ac:dyDescent="0.3"/>
    <row r="90" spans="1:18" ht="16.5" thickBot="1" x14ac:dyDescent="0.3">
      <c r="A90" s="3"/>
      <c r="B90" s="168" t="s">
        <v>150</v>
      </c>
      <c r="C90" s="168" t="s">
        <v>151</v>
      </c>
      <c r="D90" s="168" t="s">
        <v>152</v>
      </c>
      <c r="E90" s="168" t="s">
        <v>153</v>
      </c>
      <c r="F90" s="168" t="s">
        <v>154</v>
      </c>
      <c r="G90" s="168" t="s">
        <v>155</v>
      </c>
      <c r="H90" s="168" t="s">
        <v>156</v>
      </c>
      <c r="I90" s="168" t="s">
        <v>157</v>
      </c>
      <c r="J90" s="168" t="s">
        <v>158</v>
      </c>
      <c r="K90" s="168" t="s">
        <v>159</v>
      </c>
      <c r="L90" s="168" t="s">
        <v>160</v>
      </c>
      <c r="M90" s="168" t="s">
        <v>161</v>
      </c>
      <c r="N90" s="4" t="s">
        <v>31</v>
      </c>
    </row>
    <row r="91" spans="1:18" s="140" customFormat="1" x14ac:dyDescent="0.25">
      <c r="A91" s="59" t="s">
        <v>11</v>
      </c>
      <c r="B91" s="141">
        <f>+M69*R$94</f>
        <v>3849.7923749999995</v>
      </c>
      <c r="C91" s="59">
        <f t="shared" ref="C91:M105" si="23">+B91</f>
        <v>3849.7923749999995</v>
      </c>
      <c r="D91" s="59">
        <f t="shared" si="23"/>
        <v>3849.7923749999995</v>
      </c>
      <c r="E91" s="59">
        <f t="shared" si="23"/>
        <v>3849.7923749999995</v>
      </c>
      <c r="F91" s="59">
        <f t="shared" si="23"/>
        <v>3849.7923749999995</v>
      </c>
      <c r="G91" s="59">
        <f t="shared" si="23"/>
        <v>3849.7923749999995</v>
      </c>
      <c r="H91" s="59">
        <f t="shared" si="23"/>
        <v>3849.7923749999995</v>
      </c>
      <c r="I91" s="59">
        <f t="shared" si="23"/>
        <v>3849.7923749999995</v>
      </c>
      <c r="J91" s="59">
        <f t="shared" si="23"/>
        <v>3849.7923749999995</v>
      </c>
      <c r="K91" s="59"/>
      <c r="L91" s="59"/>
      <c r="M91" s="59"/>
      <c r="N91" s="59">
        <f t="shared" ref="N91:N92" si="24">SUM(B91:M91)</f>
        <v>34648.131374999997</v>
      </c>
    </row>
    <row r="92" spans="1:18" s="140" customFormat="1" x14ac:dyDescent="0.25">
      <c r="A92" s="59" t="s">
        <v>12</v>
      </c>
      <c r="B92" s="141">
        <f>+M70*R$94</f>
        <v>2309.8754249999997</v>
      </c>
      <c r="C92" s="59">
        <f t="shared" si="23"/>
        <v>2309.8754249999997</v>
      </c>
      <c r="D92" s="59">
        <f t="shared" si="23"/>
        <v>2309.8754249999997</v>
      </c>
      <c r="E92" s="59">
        <f t="shared" si="23"/>
        <v>2309.8754249999997</v>
      </c>
      <c r="F92" s="59">
        <f t="shared" si="23"/>
        <v>2309.8754249999997</v>
      </c>
      <c r="G92" s="59">
        <f t="shared" si="23"/>
        <v>2309.8754249999997</v>
      </c>
      <c r="H92" s="59">
        <f t="shared" si="23"/>
        <v>2309.8754249999997</v>
      </c>
      <c r="I92" s="59">
        <f t="shared" si="23"/>
        <v>2309.8754249999997</v>
      </c>
      <c r="J92" s="59">
        <f t="shared" si="23"/>
        <v>2309.8754249999997</v>
      </c>
      <c r="K92" s="59"/>
      <c r="L92" s="59"/>
      <c r="M92" s="59"/>
      <c r="N92" s="59">
        <f t="shared" si="24"/>
        <v>20788.878824999996</v>
      </c>
    </row>
    <row r="93" spans="1:18" s="140" customFormat="1" x14ac:dyDescent="0.25">
      <c r="A93" s="59" t="s">
        <v>0</v>
      </c>
      <c r="B93" s="141">
        <f>+M71*R$94</f>
        <v>12319.335599999999</v>
      </c>
      <c r="C93" s="59">
        <f t="shared" si="23"/>
        <v>12319.335599999999</v>
      </c>
      <c r="D93" s="59">
        <f t="shared" si="23"/>
        <v>12319.335599999999</v>
      </c>
      <c r="E93" s="59">
        <f t="shared" si="23"/>
        <v>12319.335599999999</v>
      </c>
      <c r="F93" s="59">
        <f t="shared" si="23"/>
        <v>12319.335599999999</v>
      </c>
      <c r="G93" s="59">
        <f t="shared" si="23"/>
        <v>12319.335599999999</v>
      </c>
      <c r="H93" s="59">
        <f t="shared" si="23"/>
        <v>12319.335599999999</v>
      </c>
      <c r="I93" s="59">
        <f t="shared" si="23"/>
        <v>12319.335599999999</v>
      </c>
      <c r="J93" s="59">
        <f t="shared" si="23"/>
        <v>12319.335599999999</v>
      </c>
      <c r="K93" s="59">
        <f t="shared" si="23"/>
        <v>12319.335599999999</v>
      </c>
      <c r="L93" s="59">
        <f t="shared" si="23"/>
        <v>12319.335599999999</v>
      </c>
      <c r="M93" s="59">
        <f t="shared" si="23"/>
        <v>12319.335599999999</v>
      </c>
      <c r="N93" s="59">
        <f>SUM(B93:M93)</f>
        <v>147832.02719999995</v>
      </c>
      <c r="Q93" s="140" t="s">
        <v>65</v>
      </c>
      <c r="R93" s="140" t="s">
        <v>66</v>
      </c>
    </row>
    <row r="94" spans="1:18" s="140" customFormat="1" x14ac:dyDescent="0.25">
      <c r="A94" s="59" t="s">
        <v>88</v>
      </c>
      <c r="B94" s="141">
        <f>+M72*R$94</f>
        <v>150.91186109999998</v>
      </c>
      <c r="C94" s="59">
        <f t="shared" si="23"/>
        <v>150.91186109999998</v>
      </c>
      <c r="D94" s="59">
        <f t="shared" si="23"/>
        <v>150.91186109999998</v>
      </c>
      <c r="E94" s="59">
        <f t="shared" si="23"/>
        <v>150.91186109999998</v>
      </c>
      <c r="F94" s="59">
        <f t="shared" si="23"/>
        <v>150.91186109999998</v>
      </c>
      <c r="G94" s="59">
        <f t="shared" si="23"/>
        <v>150.91186109999998</v>
      </c>
      <c r="H94" s="59">
        <f t="shared" si="23"/>
        <v>150.91186109999998</v>
      </c>
      <c r="I94" s="59">
        <f t="shared" si="23"/>
        <v>150.91186109999998</v>
      </c>
      <c r="J94" s="59">
        <f t="shared" si="23"/>
        <v>150.91186109999998</v>
      </c>
      <c r="K94" s="59"/>
      <c r="L94" s="59"/>
      <c r="M94" s="59"/>
      <c r="N94" s="59">
        <f t="shared" ref="N94:N109" si="25">SUM(B94:M94)</f>
        <v>1358.2067498999997</v>
      </c>
      <c r="Q94" s="140">
        <v>0.02</v>
      </c>
      <c r="R94" s="140">
        <f>+Q94+1</f>
        <v>1.02</v>
      </c>
    </row>
    <row r="95" spans="1:18" s="140" customFormat="1" x14ac:dyDescent="0.25">
      <c r="A95" s="59" t="s">
        <v>1</v>
      </c>
      <c r="B95" s="141">
        <f>+M73*R$94</f>
        <v>2617.8588150000005</v>
      </c>
      <c r="C95" s="59">
        <f t="shared" si="23"/>
        <v>2617.8588150000005</v>
      </c>
      <c r="D95" s="59">
        <f t="shared" si="23"/>
        <v>2617.8588150000005</v>
      </c>
      <c r="E95" s="59">
        <f t="shared" si="23"/>
        <v>2617.8588150000005</v>
      </c>
      <c r="F95" s="59">
        <f t="shared" si="23"/>
        <v>2617.8588150000005</v>
      </c>
      <c r="G95" s="59">
        <f t="shared" si="23"/>
        <v>2617.8588150000005</v>
      </c>
      <c r="H95" s="59">
        <f t="shared" si="23"/>
        <v>2617.8588150000005</v>
      </c>
      <c r="I95" s="59">
        <f t="shared" si="23"/>
        <v>2617.8588150000005</v>
      </c>
      <c r="J95" s="59">
        <f t="shared" si="23"/>
        <v>2617.8588150000005</v>
      </c>
      <c r="K95" s="59">
        <f t="shared" si="23"/>
        <v>2617.8588150000005</v>
      </c>
      <c r="L95" s="59">
        <f t="shared" si="23"/>
        <v>2617.8588150000005</v>
      </c>
      <c r="M95" s="59">
        <f t="shared" si="23"/>
        <v>2617.8588150000005</v>
      </c>
      <c r="N95" s="59">
        <f t="shared" si="25"/>
        <v>31414.305779999999</v>
      </c>
    </row>
    <row r="96" spans="1:18" s="140" customFormat="1" x14ac:dyDescent="0.25">
      <c r="A96" s="59" t="s">
        <v>2</v>
      </c>
      <c r="B96" s="141">
        <f t="shared" ref="B96:B104" si="26">+M74*R$94</f>
        <v>461.97508499999998</v>
      </c>
      <c r="C96" s="59">
        <f t="shared" si="23"/>
        <v>461.97508499999998</v>
      </c>
      <c r="D96" s="59">
        <f t="shared" si="23"/>
        <v>461.97508499999998</v>
      </c>
      <c r="E96" s="59">
        <f t="shared" si="23"/>
        <v>461.97508499999998</v>
      </c>
      <c r="F96" s="59">
        <f t="shared" si="23"/>
        <v>461.97508499999998</v>
      </c>
      <c r="G96" s="59">
        <f t="shared" si="23"/>
        <v>461.97508499999998</v>
      </c>
      <c r="H96" s="59">
        <f t="shared" si="23"/>
        <v>461.97508499999998</v>
      </c>
      <c r="I96" s="59">
        <f t="shared" si="23"/>
        <v>461.97508499999998</v>
      </c>
      <c r="J96" s="59">
        <f t="shared" si="23"/>
        <v>461.97508499999998</v>
      </c>
      <c r="K96" s="59"/>
      <c r="L96" s="59"/>
      <c r="M96" s="59"/>
      <c r="N96" s="59">
        <f t="shared" si="25"/>
        <v>4157.7757649999994</v>
      </c>
    </row>
    <row r="97" spans="1:14" s="140" customFormat="1" x14ac:dyDescent="0.25">
      <c r="A97" s="59" t="s">
        <v>3</v>
      </c>
      <c r="B97" s="141">
        <f t="shared" si="26"/>
        <v>184.79003399999996</v>
      </c>
      <c r="C97" s="59">
        <f t="shared" si="23"/>
        <v>184.79003399999996</v>
      </c>
      <c r="D97" s="59">
        <f t="shared" si="23"/>
        <v>184.79003399999996</v>
      </c>
      <c r="E97" s="59">
        <f t="shared" si="23"/>
        <v>184.79003399999996</v>
      </c>
      <c r="F97" s="59">
        <f t="shared" si="23"/>
        <v>184.79003399999996</v>
      </c>
      <c r="G97" s="59">
        <f t="shared" si="23"/>
        <v>184.79003399999996</v>
      </c>
      <c r="H97" s="59">
        <f t="shared" si="23"/>
        <v>184.79003399999996</v>
      </c>
      <c r="I97" s="59">
        <f t="shared" si="23"/>
        <v>184.79003399999996</v>
      </c>
      <c r="J97" s="59">
        <f t="shared" si="23"/>
        <v>184.79003399999996</v>
      </c>
      <c r="K97" s="59"/>
      <c r="L97" s="59"/>
      <c r="M97" s="59"/>
      <c r="N97" s="59">
        <f t="shared" si="25"/>
        <v>1663.1103059999994</v>
      </c>
    </row>
    <row r="98" spans="1:14" s="140" customFormat="1" x14ac:dyDescent="0.25">
      <c r="A98" s="59" t="s">
        <v>4</v>
      </c>
      <c r="B98" s="141">
        <f t="shared" si="26"/>
        <v>246.38671199999996</v>
      </c>
      <c r="C98" s="59">
        <f t="shared" si="23"/>
        <v>246.38671199999996</v>
      </c>
      <c r="D98" s="59">
        <f t="shared" si="23"/>
        <v>246.38671199999996</v>
      </c>
      <c r="E98" s="59">
        <f t="shared" si="23"/>
        <v>246.38671199999996</v>
      </c>
      <c r="F98" s="59">
        <f t="shared" si="23"/>
        <v>246.38671199999996</v>
      </c>
      <c r="G98" s="59">
        <f t="shared" si="23"/>
        <v>246.38671199999996</v>
      </c>
      <c r="H98" s="59">
        <f t="shared" si="23"/>
        <v>246.38671199999996</v>
      </c>
      <c r="I98" s="59">
        <f t="shared" si="23"/>
        <v>246.38671199999996</v>
      </c>
      <c r="J98" s="59">
        <f t="shared" si="23"/>
        <v>246.38671199999996</v>
      </c>
      <c r="K98" s="59">
        <f t="shared" si="23"/>
        <v>246.38671199999996</v>
      </c>
      <c r="L98" s="59">
        <f t="shared" si="23"/>
        <v>246.38671199999996</v>
      </c>
      <c r="M98" s="59">
        <f t="shared" si="23"/>
        <v>246.38671199999996</v>
      </c>
      <c r="N98" s="59">
        <f t="shared" si="25"/>
        <v>2956.6405439999994</v>
      </c>
    </row>
    <row r="99" spans="1:14" s="140" customFormat="1" x14ac:dyDescent="0.25">
      <c r="A99" s="59" t="s">
        <v>5</v>
      </c>
      <c r="B99" s="141">
        <f t="shared" si="26"/>
        <v>461.97508499999998</v>
      </c>
      <c r="C99" s="59">
        <f t="shared" si="23"/>
        <v>461.97508499999998</v>
      </c>
      <c r="D99" s="59">
        <f t="shared" si="23"/>
        <v>461.97508499999998</v>
      </c>
      <c r="E99" s="59">
        <f t="shared" si="23"/>
        <v>461.97508499999998</v>
      </c>
      <c r="F99" s="59">
        <f t="shared" si="23"/>
        <v>461.97508499999998</v>
      </c>
      <c r="G99" s="59">
        <f t="shared" si="23"/>
        <v>461.97508499999998</v>
      </c>
      <c r="H99" s="59">
        <f t="shared" si="23"/>
        <v>461.97508499999998</v>
      </c>
      <c r="I99" s="59">
        <f t="shared" si="23"/>
        <v>461.97508499999998</v>
      </c>
      <c r="J99" s="59">
        <f t="shared" si="23"/>
        <v>461.97508499999998</v>
      </c>
      <c r="K99" s="59"/>
      <c r="L99" s="59"/>
      <c r="M99" s="59"/>
      <c r="N99" s="59">
        <f t="shared" si="25"/>
        <v>4157.7757649999994</v>
      </c>
    </row>
    <row r="100" spans="1:14" s="140" customFormat="1" x14ac:dyDescent="0.25">
      <c r="A100" s="59" t="s">
        <v>6</v>
      </c>
      <c r="B100" s="141">
        <f t="shared" si="26"/>
        <v>862.35349199999996</v>
      </c>
      <c r="C100" s="59">
        <f t="shared" si="23"/>
        <v>862.35349199999996</v>
      </c>
      <c r="D100" s="59">
        <f t="shared" si="23"/>
        <v>862.35349199999996</v>
      </c>
      <c r="E100" s="59">
        <f t="shared" si="23"/>
        <v>862.35349199999996</v>
      </c>
      <c r="F100" s="59">
        <f t="shared" si="23"/>
        <v>862.35349199999996</v>
      </c>
      <c r="G100" s="59">
        <f t="shared" si="23"/>
        <v>862.35349199999996</v>
      </c>
      <c r="H100" s="59">
        <f t="shared" si="23"/>
        <v>862.35349199999996</v>
      </c>
      <c r="I100" s="59">
        <f t="shared" si="23"/>
        <v>862.35349199999996</v>
      </c>
      <c r="J100" s="59">
        <f t="shared" si="23"/>
        <v>862.35349199999996</v>
      </c>
      <c r="K100" s="59">
        <f t="shared" si="23"/>
        <v>862.35349199999996</v>
      </c>
      <c r="L100" s="59">
        <f t="shared" si="23"/>
        <v>862.35349199999996</v>
      </c>
      <c r="M100" s="59">
        <f t="shared" si="23"/>
        <v>862.35349199999996</v>
      </c>
      <c r="N100" s="59">
        <f t="shared" si="25"/>
        <v>10348.241904</v>
      </c>
    </row>
    <row r="101" spans="1:14" s="140" customFormat="1" x14ac:dyDescent="0.25">
      <c r="A101" s="59" t="s">
        <v>7</v>
      </c>
      <c r="B101" s="141">
        <f t="shared" si="26"/>
        <v>354.18089849999996</v>
      </c>
      <c r="C101" s="59">
        <f t="shared" si="23"/>
        <v>354.18089849999996</v>
      </c>
      <c r="D101" s="59">
        <f t="shared" si="23"/>
        <v>354.18089849999996</v>
      </c>
      <c r="E101" s="59">
        <f t="shared" si="23"/>
        <v>354.18089849999996</v>
      </c>
      <c r="F101" s="59">
        <f t="shared" si="23"/>
        <v>354.18089849999996</v>
      </c>
      <c r="G101" s="59">
        <f t="shared" si="23"/>
        <v>354.18089849999996</v>
      </c>
      <c r="H101" s="59">
        <f t="shared" si="23"/>
        <v>354.18089849999996</v>
      </c>
      <c r="I101" s="59">
        <f t="shared" si="23"/>
        <v>354.18089849999996</v>
      </c>
      <c r="J101" s="59">
        <f t="shared" si="23"/>
        <v>354.18089849999996</v>
      </c>
      <c r="K101" s="59"/>
      <c r="L101" s="59"/>
      <c r="M101" s="59"/>
      <c r="N101" s="59">
        <f t="shared" si="25"/>
        <v>3187.628086499999</v>
      </c>
    </row>
    <row r="102" spans="1:14" s="140" customFormat="1" x14ac:dyDescent="0.25">
      <c r="A102" s="59" t="s">
        <v>8</v>
      </c>
      <c r="B102" s="141">
        <f t="shared" si="26"/>
        <v>1847.9003399999999</v>
      </c>
      <c r="C102" s="59">
        <f t="shared" si="23"/>
        <v>1847.9003399999999</v>
      </c>
      <c r="D102" s="59">
        <f t="shared" si="23"/>
        <v>1847.9003399999999</v>
      </c>
      <c r="E102" s="59">
        <f t="shared" si="23"/>
        <v>1847.9003399999999</v>
      </c>
      <c r="F102" s="59">
        <f t="shared" si="23"/>
        <v>1847.9003399999999</v>
      </c>
      <c r="G102" s="59">
        <f t="shared" si="23"/>
        <v>1847.9003399999999</v>
      </c>
      <c r="H102" s="59">
        <f t="shared" si="23"/>
        <v>1847.9003399999999</v>
      </c>
      <c r="I102" s="59">
        <f t="shared" si="23"/>
        <v>1847.9003399999999</v>
      </c>
      <c r="J102" s="59">
        <f t="shared" si="23"/>
        <v>1847.9003399999999</v>
      </c>
      <c r="K102" s="59"/>
      <c r="L102" s="59"/>
      <c r="M102" s="59"/>
      <c r="N102" s="59">
        <f t="shared" si="25"/>
        <v>16631.103059999998</v>
      </c>
    </row>
    <row r="103" spans="1:14" s="140" customFormat="1" x14ac:dyDescent="0.25">
      <c r="A103" s="59" t="s">
        <v>9</v>
      </c>
      <c r="B103" s="141">
        <f t="shared" si="26"/>
        <v>1385.9252550000001</v>
      </c>
      <c r="C103" s="59">
        <f t="shared" si="23"/>
        <v>1385.9252550000001</v>
      </c>
      <c r="D103" s="59">
        <f t="shared" si="23"/>
        <v>1385.9252550000001</v>
      </c>
      <c r="E103" s="59">
        <f t="shared" si="23"/>
        <v>1385.9252550000001</v>
      </c>
      <c r="F103" s="59">
        <f t="shared" si="23"/>
        <v>1385.9252550000001</v>
      </c>
      <c r="G103" s="59">
        <f t="shared" si="23"/>
        <v>1385.9252550000001</v>
      </c>
      <c r="H103" s="59">
        <f t="shared" si="23"/>
        <v>1385.9252550000001</v>
      </c>
      <c r="I103" s="59">
        <f t="shared" si="23"/>
        <v>1385.9252550000001</v>
      </c>
      <c r="J103" s="59">
        <f t="shared" si="23"/>
        <v>1385.9252550000001</v>
      </c>
      <c r="K103" s="59"/>
      <c r="L103" s="59"/>
      <c r="M103" s="59"/>
      <c r="N103" s="59">
        <f t="shared" si="25"/>
        <v>12473.327295000001</v>
      </c>
    </row>
    <row r="104" spans="1:14" s="140" customFormat="1" x14ac:dyDescent="0.25">
      <c r="A104" s="59" t="s">
        <v>10</v>
      </c>
      <c r="B104" s="141">
        <f t="shared" si="26"/>
        <v>4619.7508499999994</v>
      </c>
      <c r="C104" s="59">
        <f t="shared" si="23"/>
        <v>4619.7508499999994</v>
      </c>
      <c r="D104" s="59">
        <f t="shared" si="23"/>
        <v>4619.7508499999994</v>
      </c>
      <c r="E104" s="59">
        <f t="shared" si="23"/>
        <v>4619.7508499999994</v>
      </c>
      <c r="F104" s="59">
        <f t="shared" si="23"/>
        <v>4619.7508499999994</v>
      </c>
      <c r="G104" s="59">
        <f t="shared" si="23"/>
        <v>4619.7508499999994</v>
      </c>
      <c r="H104" s="59">
        <f t="shared" si="23"/>
        <v>4619.7508499999994</v>
      </c>
      <c r="I104" s="59">
        <f t="shared" si="23"/>
        <v>4619.7508499999994</v>
      </c>
      <c r="J104" s="59">
        <f t="shared" si="23"/>
        <v>4619.7508499999994</v>
      </c>
      <c r="K104" s="59"/>
      <c r="L104" s="59"/>
      <c r="M104" s="59"/>
      <c r="N104" s="59">
        <f t="shared" si="25"/>
        <v>41577.757649999992</v>
      </c>
    </row>
    <row r="105" spans="1:14" s="140" customFormat="1" x14ac:dyDescent="0.25">
      <c r="A105" s="59" t="s">
        <v>95</v>
      </c>
      <c r="B105" s="59">
        <f>B83+B83*0.1</f>
        <v>570.99899999999991</v>
      </c>
      <c r="C105" s="59">
        <f t="shared" si="23"/>
        <v>570.99899999999991</v>
      </c>
      <c r="D105" s="59">
        <f t="shared" si="23"/>
        <v>570.99899999999991</v>
      </c>
      <c r="E105" s="59">
        <f t="shared" si="23"/>
        <v>570.99899999999991</v>
      </c>
      <c r="F105" s="59">
        <f t="shared" si="23"/>
        <v>570.99899999999991</v>
      </c>
      <c r="G105" s="59">
        <f t="shared" si="23"/>
        <v>570.99899999999991</v>
      </c>
      <c r="H105" s="59">
        <f t="shared" si="23"/>
        <v>570.99899999999991</v>
      </c>
      <c r="I105" s="59">
        <f t="shared" si="23"/>
        <v>570.99899999999991</v>
      </c>
      <c r="J105" s="59">
        <f t="shared" si="23"/>
        <v>570.99899999999991</v>
      </c>
      <c r="K105" s="59"/>
      <c r="L105" s="59"/>
      <c r="M105" s="59"/>
      <c r="N105" s="59">
        <f t="shared" si="25"/>
        <v>5138.9909999999991</v>
      </c>
    </row>
    <row r="106" spans="1:14" x14ac:dyDescent="0.25">
      <c r="A106" s="3"/>
      <c r="B106" s="3"/>
      <c r="C106" s="3"/>
      <c r="D106" s="3"/>
      <c r="E106" s="59"/>
      <c r="F106" s="59"/>
      <c r="G106" s="59"/>
      <c r="H106" s="59"/>
      <c r="I106" s="59"/>
      <c r="J106" s="59"/>
      <c r="K106" s="59"/>
      <c r="L106" s="59"/>
      <c r="M106" s="59"/>
      <c r="N106" s="59">
        <f t="shared" si="25"/>
        <v>0</v>
      </c>
    </row>
    <row r="107" spans="1:14" x14ac:dyDescent="0.25">
      <c r="A107" s="3"/>
      <c r="B107" s="3"/>
      <c r="C107" s="3"/>
      <c r="D107" s="3"/>
      <c r="E107" s="59"/>
      <c r="F107" s="59"/>
      <c r="G107" s="59"/>
      <c r="H107" s="59"/>
      <c r="I107" s="59"/>
      <c r="J107" s="59"/>
      <c r="K107" s="59"/>
      <c r="L107" s="59"/>
      <c r="M107" s="59"/>
      <c r="N107" s="59">
        <f t="shared" si="25"/>
        <v>0</v>
      </c>
    </row>
    <row r="108" spans="1:14" ht="15.75" thickBot="1" x14ac:dyDescent="0.3">
      <c r="A108" s="7"/>
      <c r="B108" s="7"/>
      <c r="C108" s="7"/>
      <c r="D108" s="7"/>
      <c r="E108" s="65"/>
      <c r="F108" s="65"/>
      <c r="G108" s="65"/>
      <c r="H108" s="65"/>
      <c r="I108" s="65"/>
      <c r="J108" s="65"/>
      <c r="K108" s="65"/>
      <c r="L108" s="65"/>
      <c r="M108" s="65"/>
      <c r="N108" s="59">
        <f t="shared" si="25"/>
        <v>0</v>
      </c>
    </row>
    <row r="109" spans="1:14" ht="18.75" thickBot="1" x14ac:dyDescent="0.3">
      <c r="A109" s="60" t="s">
        <v>30</v>
      </c>
      <c r="B109" s="42">
        <f t="shared" ref="B109:M109" si="27">SUM(B91:B108)</f>
        <v>32244.010827599996</v>
      </c>
      <c r="C109" s="42">
        <f t="shared" si="27"/>
        <v>32244.010827599996</v>
      </c>
      <c r="D109" s="42">
        <f t="shared" si="27"/>
        <v>32244.010827599996</v>
      </c>
      <c r="E109" s="58">
        <f t="shared" si="27"/>
        <v>32244.010827599996</v>
      </c>
      <c r="F109" s="58">
        <f t="shared" si="27"/>
        <v>32244.010827599996</v>
      </c>
      <c r="G109" s="58">
        <f t="shared" si="27"/>
        <v>32244.010827599996</v>
      </c>
      <c r="H109" s="58">
        <f t="shared" si="27"/>
        <v>32244.010827599996</v>
      </c>
      <c r="I109" s="58">
        <f t="shared" si="27"/>
        <v>32244.010827599996</v>
      </c>
      <c r="J109" s="58">
        <f t="shared" si="27"/>
        <v>32244.010827599996</v>
      </c>
      <c r="K109" s="58">
        <f t="shared" si="27"/>
        <v>16045.934618999998</v>
      </c>
      <c r="L109" s="58">
        <f t="shared" si="27"/>
        <v>16045.934618999998</v>
      </c>
      <c r="M109" s="58">
        <f t="shared" si="27"/>
        <v>16045.934618999998</v>
      </c>
      <c r="N109" s="59">
        <f t="shared" si="25"/>
        <v>338333.90130540001</v>
      </c>
    </row>
  </sheetData>
  <phoneticPr fontId="19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5"/>
  <sheetViews>
    <sheetView showGridLines="0" topLeftCell="E97" workbookViewId="0">
      <selection activeCell="F91" sqref="F91"/>
    </sheetView>
  </sheetViews>
  <sheetFormatPr defaultRowHeight="15" x14ac:dyDescent="0.25"/>
  <cols>
    <col min="1" max="1" width="19.5703125" customWidth="1"/>
    <col min="2" max="2" width="24.5703125" customWidth="1"/>
    <col min="3" max="3" width="15.42578125" customWidth="1"/>
    <col min="4" max="14" width="14.28515625" bestFit="1" customWidth="1"/>
    <col min="15" max="15" width="14" bestFit="1" customWidth="1"/>
    <col min="16" max="16" width="18" bestFit="1" customWidth="1"/>
  </cols>
  <sheetData>
    <row r="1" spans="1:17" ht="15.75" x14ac:dyDescent="0.25">
      <c r="A1" s="71" t="s">
        <v>17</v>
      </c>
      <c r="B1" s="71"/>
      <c r="C1" s="72"/>
      <c r="D1" s="73"/>
      <c r="E1" s="73"/>
      <c r="F1" s="73"/>
      <c r="G1" s="73"/>
      <c r="H1" s="73"/>
      <c r="I1" s="73"/>
      <c r="J1" s="74"/>
      <c r="K1" s="74"/>
      <c r="L1" s="74"/>
      <c r="M1" s="74"/>
      <c r="N1" s="74"/>
      <c r="O1" s="74"/>
      <c r="P1" s="74"/>
      <c r="Q1" s="74"/>
    </row>
    <row r="2" spans="1:17" ht="16.5" thickBot="1" x14ac:dyDescent="0.3">
      <c r="A2" s="71"/>
      <c r="B2" s="71"/>
      <c r="C2" s="162" t="s">
        <v>102</v>
      </c>
      <c r="D2" s="162" t="s">
        <v>103</v>
      </c>
      <c r="E2" s="162" t="s">
        <v>104</v>
      </c>
      <c r="F2" s="162" t="s">
        <v>105</v>
      </c>
      <c r="G2" s="162" t="s">
        <v>106</v>
      </c>
      <c r="H2" s="162" t="s">
        <v>107</v>
      </c>
      <c r="I2" s="162" t="s">
        <v>108</v>
      </c>
      <c r="J2" s="162" t="s">
        <v>109</v>
      </c>
      <c r="K2" s="162" t="s">
        <v>110</v>
      </c>
      <c r="L2" s="162" t="s">
        <v>111</v>
      </c>
      <c r="M2" s="162" t="s">
        <v>112</v>
      </c>
      <c r="N2" s="162" t="s">
        <v>113</v>
      </c>
      <c r="O2" s="74" t="s">
        <v>31</v>
      </c>
      <c r="P2" s="74" t="s">
        <v>58</v>
      </c>
      <c r="Q2" s="74"/>
    </row>
    <row r="3" spans="1:17" ht="16.5" thickBot="1" x14ac:dyDescent="0.3">
      <c r="A3" s="71" t="s">
        <v>44</v>
      </c>
      <c r="B3" s="75" t="s">
        <v>28</v>
      </c>
      <c r="C3" s="76">
        <f>+'Investimento Inicial'!B19</f>
        <v>238055.5</v>
      </c>
      <c r="D3" s="76">
        <f>+C21</f>
        <v>217097.5</v>
      </c>
      <c r="E3" s="76">
        <f>+D21</f>
        <v>203139.5</v>
      </c>
      <c r="F3" s="76">
        <f t="shared" ref="F3:N3" si="0">+E21</f>
        <v>186661.5</v>
      </c>
      <c r="G3" s="76">
        <f t="shared" si="0"/>
        <v>170561.5</v>
      </c>
      <c r="H3" s="76">
        <f t="shared" si="0"/>
        <v>154839.5</v>
      </c>
      <c r="I3" s="76">
        <f t="shared" si="0"/>
        <v>139495.5</v>
      </c>
      <c r="J3" s="76">
        <f t="shared" si="0"/>
        <v>124529.5</v>
      </c>
      <c r="K3" s="76">
        <f t="shared" si="0"/>
        <v>110291.5</v>
      </c>
      <c r="L3" s="76">
        <f t="shared" si="0"/>
        <v>96620.5</v>
      </c>
      <c r="M3" s="76">
        <f t="shared" si="0"/>
        <v>83516.5</v>
      </c>
      <c r="N3" s="76">
        <f t="shared" si="0"/>
        <v>70979.5</v>
      </c>
      <c r="O3" s="77"/>
      <c r="P3" s="74"/>
      <c r="Q3" s="74"/>
    </row>
    <row r="4" spans="1:17" ht="15.75" x14ac:dyDescent="0.25">
      <c r="A4" s="71"/>
      <c r="B4" s="71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4"/>
      <c r="P4" s="74"/>
      <c r="Q4" s="74"/>
    </row>
    <row r="5" spans="1:17" ht="15.95" customHeight="1" x14ac:dyDescent="0.25">
      <c r="A5" s="188" t="s">
        <v>18</v>
      </c>
      <c r="B5" s="80" t="s">
        <v>19</v>
      </c>
      <c r="C5" s="81">
        <f>(+'Base de Dados'!C19*'Base de Dados'!C21+('Base de Dados'!C20*'Base de Dados'!C23))*'Base de Dados'!$P$19</f>
        <v>0</v>
      </c>
      <c r="D5" s="81">
        <f>(+'Base de Dados'!D19*'Base de Dados'!D21+('Base de Dados'!D20*'Base de Dados'!D23))*'Base de Dados'!$P$19</f>
        <v>7000</v>
      </c>
      <c r="E5" s="81">
        <f>(+'Base de Dados'!E19*'Base de Dados'!E21+('Base de Dados'!E20*'Base de Dados'!E23))*'Base de Dados'!$P$19</f>
        <v>7700</v>
      </c>
      <c r="F5" s="81">
        <f>(+'Base de Dados'!F19*'Base de Dados'!F21+('Base de Dados'!F20*'Base de Dados'!F23))*'Base de Dados'!$P$19</f>
        <v>8400</v>
      </c>
      <c r="G5" s="81">
        <f>(+'Base de Dados'!G19*'Base de Dados'!G21+('Base de Dados'!G20*'Base de Dados'!G23))*'Base de Dados'!$P$19</f>
        <v>9100</v>
      </c>
      <c r="H5" s="81">
        <f>(+'Base de Dados'!H19*'Base de Dados'!H21+('Base de Dados'!H20*'Base de Dados'!H23))*'Base de Dados'!$P$19</f>
        <v>9800</v>
      </c>
      <c r="I5" s="81">
        <f>(+'Base de Dados'!I19*'Base de Dados'!I21+('Base de Dados'!I20*'Base de Dados'!I23))*'Base de Dados'!$P$19</f>
        <v>10500</v>
      </c>
      <c r="J5" s="81">
        <f>(+'Base de Dados'!J19*'Base de Dados'!J21+('Base de Dados'!J20*'Base de Dados'!J23))*'Base de Dados'!$P$19</f>
        <v>11550</v>
      </c>
      <c r="K5" s="81">
        <f>(+'Base de Dados'!K19*'Base de Dados'!K21+('Base de Dados'!K20*'Base de Dados'!K23))*'Base de Dados'!$P$19</f>
        <v>12600</v>
      </c>
      <c r="L5" s="81">
        <f>(+'Base de Dados'!L19*'Base de Dados'!L21+('Base de Dados'!L20*'Base de Dados'!L23))*'Base de Dados'!$P$19</f>
        <v>13650</v>
      </c>
      <c r="M5" s="81">
        <f>(+'Base de Dados'!M19*'Base de Dados'!M21+('Base de Dados'!M20*'Base de Dados'!M23))*'Base de Dados'!$P$19</f>
        <v>14700</v>
      </c>
      <c r="N5" s="81">
        <f>(+'Base de Dados'!N19*'Base de Dados'!N21+('Base de Dados'!N20*'Base de Dados'!N23))*'Base de Dados'!$P$19</f>
        <v>16100</v>
      </c>
      <c r="O5" s="77">
        <f>SUM(C5:N5)</f>
        <v>121100</v>
      </c>
      <c r="P5" s="82">
        <f>+O5</f>
        <v>121100</v>
      </c>
      <c r="Q5" s="74"/>
    </row>
    <row r="6" spans="1:17" ht="15" customHeight="1" x14ac:dyDescent="0.25">
      <c r="A6" s="188"/>
      <c r="B6" s="83" t="s">
        <v>51</v>
      </c>
      <c r="C6" s="81">
        <f>(+'Base de Dados'!C19*'Base de Dados'!C21+('Base de Dados'!C20*'Base de Dados'!C23))*'Base de Dados'!$Q$19</f>
        <v>0</v>
      </c>
      <c r="D6" s="81">
        <f>(+'Base de Dados'!C19*'Base de Dados'!C21+('Base de Dados'!C20*'Base de Dados'!C23))*'Base de Dados'!$Q$19</f>
        <v>0</v>
      </c>
      <c r="E6" s="81">
        <f>(+'Base de Dados'!D19*'Base de Dados'!D21+('Base de Dados'!D20*'Base de Dados'!D23))*'Base de Dados'!$Q$19</f>
        <v>0</v>
      </c>
      <c r="F6" s="81">
        <f>(+'Base de Dados'!E19*'Base de Dados'!E21+('Base de Dados'!E20*'Base de Dados'!E23))*'Base de Dados'!$Q$19</f>
        <v>0</v>
      </c>
      <c r="G6" s="81">
        <f>(+'Base de Dados'!F19*'Base de Dados'!F21+('Base de Dados'!F20*'Base de Dados'!F23))*'Base de Dados'!$Q$19</f>
        <v>0</v>
      </c>
      <c r="H6" s="81">
        <f>(+'Base de Dados'!G19*'Base de Dados'!G21+('Base de Dados'!G20*'Base de Dados'!G23))*'Base de Dados'!$Q$19</f>
        <v>0</v>
      </c>
      <c r="I6" s="81">
        <f>(+'Base de Dados'!H19*'Base de Dados'!H21+('Base de Dados'!H20*'Base de Dados'!H23))*'Base de Dados'!$Q$19</f>
        <v>0</v>
      </c>
      <c r="J6" s="81">
        <f>(+'Base de Dados'!I19*'Base de Dados'!I21+('Base de Dados'!I20*'Base de Dados'!I23))*'Base de Dados'!$Q$19</f>
        <v>0</v>
      </c>
      <c r="K6" s="81">
        <f>(+'Base de Dados'!J19*'Base de Dados'!J21+('Base de Dados'!J20*'Base de Dados'!J23))*'Base de Dados'!$Q$19</f>
        <v>0</v>
      </c>
      <c r="L6" s="81">
        <f>(+'Base de Dados'!K19*'Base de Dados'!K21+('Base de Dados'!K20*'Base de Dados'!K23))*'Base de Dados'!$Q$19</f>
        <v>0</v>
      </c>
      <c r="M6" s="81">
        <f>(+'Base de Dados'!L19*'Base de Dados'!L21+('Base de Dados'!L20*'Base de Dados'!L23))*'Base de Dados'!$Q$19</f>
        <v>0</v>
      </c>
      <c r="N6" s="81">
        <f>(+'Base de Dados'!M19*'Base de Dados'!M21+('Base de Dados'!M20*'Base de Dados'!M23))*'Base de Dados'!$Q$19</f>
        <v>0</v>
      </c>
      <c r="O6" s="77">
        <f t="shared" ref="O6:O20" si="1">SUM(C6:N6)</f>
        <v>0</v>
      </c>
      <c r="P6" s="82">
        <f>+O6+N5</f>
        <v>16100</v>
      </c>
      <c r="Q6" s="82"/>
    </row>
    <row r="7" spans="1:17" ht="15.75" x14ac:dyDescent="0.25">
      <c r="A7" s="188"/>
      <c r="B7" s="80"/>
      <c r="C7" s="84"/>
      <c r="D7" s="84" t="s">
        <v>20</v>
      </c>
      <c r="E7" s="84"/>
      <c r="F7" s="84" t="s">
        <v>20</v>
      </c>
      <c r="G7" s="84" t="s">
        <v>20</v>
      </c>
      <c r="H7" s="84" t="s">
        <v>20</v>
      </c>
      <c r="I7" s="84" t="s">
        <v>20</v>
      </c>
      <c r="J7" s="84" t="s">
        <v>20</v>
      </c>
      <c r="K7" s="84" t="s">
        <v>20</v>
      </c>
      <c r="L7" s="84" t="s">
        <v>20</v>
      </c>
      <c r="M7" s="84" t="s">
        <v>20</v>
      </c>
      <c r="N7" s="84" t="s">
        <v>20</v>
      </c>
      <c r="O7" s="77">
        <f t="shared" si="1"/>
        <v>0</v>
      </c>
      <c r="P7" s="74"/>
      <c r="Q7" s="74"/>
    </row>
    <row r="8" spans="1:17" ht="15.75" x14ac:dyDescent="0.25">
      <c r="A8" s="188"/>
      <c r="B8" s="83"/>
      <c r="C8" s="85"/>
      <c r="D8" s="84"/>
      <c r="E8" s="84" t="s">
        <v>20</v>
      </c>
      <c r="F8" s="84" t="s">
        <v>20</v>
      </c>
      <c r="G8" s="84" t="s">
        <v>20</v>
      </c>
      <c r="H8" s="84" t="s">
        <v>20</v>
      </c>
      <c r="I8" s="84" t="s">
        <v>20</v>
      </c>
      <c r="J8" s="84" t="s">
        <v>20</v>
      </c>
      <c r="K8" s="84" t="s">
        <v>20</v>
      </c>
      <c r="L8" s="84" t="s">
        <v>20</v>
      </c>
      <c r="M8" s="84" t="s">
        <v>20</v>
      </c>
      <c r="N8" s="84" t="s">
        <v>20</v>
      </c>
      <c r="O8" s="77">
        <f t="shared" si="1"/>
        <v>0</v>
      </c>
      <c r="P8" s="74"/>
      <c r="Q8" s="74"/>
    </row>
    <row r="9" spans="1:17" ht="15.75" x14ac:dyDescent="0.25">
      <c r="A9" s="188"/>
      <c r="B9" s="80" t="s">
        <v>21</v>
      </c>
      <c r="C9" s="86"/>
      <c r="D9" s="86" t="s">
        <v>20</v>
      </c>
      <c r="E9" s="86"/>
      <c r="F9" s="86" t="s">
        <v>20</v>
      </c>
      <c r="G9" s="86" t="s">
        <v>20</v>
      </c>
      <c r="H9" s="86" t="s">
        <v>20</v>
      </c>
      <c r="I9" s="86" t="s">
        <v>20</v>
      </c>
      <c r="J9" s="86" t="s">
        <v>20</v>
      </c>
      <c r="K9" s="86" t="s">
        <v>20</v>
      </c>
      <c r="L9" s="86" t="s">
        <v>20</v>
      </c>
      <c r="M9" s="86" t="s">
        <v>20</v>
      </c>
      <c r="N9" s="86" t="s">
        <v>20</v>
      </c>
      <c r="O9" s="77">
        <f t="shared" si="1"/>
        <v>0</v>
      </c>
      <c r="P9" s="74"/>
      <c r="Q9" s="74"/>
    </row>
    <row r="10" spans="1:17" ht="16.5" thickBot="1" x14ac:dyDescent="0.3">
      <c r="A10" s="188"/>
      <c r="B10" s="80" t="s">
        <v>22</v>
      </c>
      <c r="C10" s="86"/>
      <c r="D10" s="86" t="s">
        <v>20</v>
      </c>
      <c r="E10" s="86" t="s">
        <v>20</v>
      </c>
      <c r="F10" s="86" t="s">
        <v>20</v>
      </c>
      <c r="G10" s="86" t="s">
        <v>20</v>
      </c>
      <c r="H10" s="86" t="s">
        <v>20</v>
      </c>
      <c r="I10" s="86" t="s">
        <v>20</v>
      </c>
      <c r="J10" s="86" t="s">
        <v>20</v>
      </c>
      <c r="K10" s="86" t="s">
        <v>20</v>
      </c>
      <c r="L10" s="86" t="s">
        <v>20</v>
      </c>
      <c r="M10" s="86" t="s">
        <v>20</v>
      </c>
      <c r="N10" s="86" t="s">
        <v>20</v>
      </c>
      <c r="O10" s="77">
        <f t="shared" si="1"/>
        <v>0</v>
      </c>
      <c r="P10" s="74"/>
      <c r="Q10" s="74"/>
    </row>
    <row r="11" spans="1:17" ht="32.25" thickBot="1" x14ac:dyDescent="0.3">
      <c r="A11" s="189"/>
      <c r="B11" s="87" t="s">
        <v>23</v>
      </c>
      <c r="C11" s="88">
        <f t="shared" ref="C11:H11" si="2">SUM(C5:C10)</f>
        <v>0</v>
      </c>
      <c r="D11" s="88">
        <f t="shared" si="2"/>
        <v>7000</v>
      </c>
      <c r="E11" s="88">
        <f t="shared" si="2"/>
        <v>7700</v>
      </c>
      <c r="F11" s="88">
        <f t="shared" si="2"/>
        <v>8400</v>
      </c>
      <c r="G11" s="88">
        <f t="shared" si="2"/>
        <v>9100</v>
      </c>
      <c r="H11" s="88">
        <f t="shared" si="2"/>
        <v>9800</v>
      </c>
      <c r="I11" s="88">
        <f t="shared" ref="I11:N11" si="3">SUM(I5:I10)</f>
        <v>10500</v>
      </c>
      <c r="J11" s="88">
        <f t="shared" si="3"/>
        <v>11550</v>
      </c>
      <c r="K11" s="88">
        <f t="shared" si="3"/>
        <v>12600</v>
      </c>
      <c r="L11" s="88">
        <f t="shared" si="3"/>
        <v>13650</v>
      </c>
      <c r="M11" s="88">
        <f t="shared" si="3"/>
        <v>14700</v>
      </c>
      <c r="N11" s="88">
        <f t="shared" si="3"/>
        <v>16100</v>
      </c>
      <c r="O11" s="89">
        <f t="shared" si="1"/>
        <v>121100</v>
      </c>
      <c r="P11" s="74"/>
      <c r="Q11" s="74"/>
    </row>
    <row r="12" spans="1:17" ht="17.25" customHeight="1" x14ac:dyDescent="0.25">
      <c r="A12" s="190" t="s">
        <v>24</v>
      </c>
      <c r="B12" s="83" t="s">
        <v>52</v>
      </c>
      <c r="C12" s="84">
        <v>0</v>
      </c>
      <c r="D12" s="84">
        <v>0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4">
        <v>0</v>
      </c>
      <c r="M12" s="84">
        <v>0</v>
      </c>
      <c r="N12" s="84">
        <v>0</v>
      </c>
      <c r="O12" s="77">
        <f t="shared" si="1"/>
        <v>0</v>
      </c>
      <c r="P12" s="74"/>
      <c r="Q12" s="74"/>
    </row>
    <row r="13" spans="1:17" ht="15.95" customHeight="1" x14ac:dyDescent="0.25">
      <c r="A13" s="191"/>
      <c r="B13" s="80" t="s">
        <v>53</v>
      </c>
      <c r="C13" s="84">
        <v>0</v>
      </c>
      <c r="D13" s="84">
        <f>+'Base de Dados'!C19*'Base de Dados'!C22+('Base de Dados'!C20*'Base de Dados'!C24)</f>
        <v>0</v>
      </c>
      <c r="E13" s="84">
        <f>+'Base de Dados'!D19*'Base de Dados'!D22+('Base de Dados'!D20*'Base de Dados'!D24)</f>
        <v>2800</v>
      </c>
      <c r="F13" s="84">
        <f>+'Base de Dados'!E19*'Base de Dados'!E22+('Base de Dados'!E20*'Base de Dados'!E24)</f>
        <v>3080</v>
      </c>
      <c r="G13" s="84">
        <f>+'Base de Dados'!F19*'Base de Dados'!F22+('Base de Dados'!F20*'Base de Dados'!F24)</f>
        <v>3360</v>
      </c>
      <c r="H13" s="84">
        <f>+'Base de Dados'!G19*'Base de Dados'!G22+('Base de Dados'!G20*'Base de Dados'!G24)</f>
        <v>3640</v>
      </c>
      <c r="I13" s="84">
        <f>+'Base de Dados'!H19*'Base de Dados'!H22+('Base de Dados'!H20*'Base de Dados'!H24)</f>
        <v>3920</v>
      </c>
      <c r="J13" s="84">
        <f>+'Base de Dados'!I19*'Base de Dados'!I22+('Base de Dados'!I20*'Base de Dados'!I24)</f>
        <v>4200</v>
      </c>
      <c r="K13" s="84">
        <f>+'Base de Dados'!J19*'Base de Dados'!J22+('Base de Dados'!J20*'Base de Dados'!J24)</f>
        <v>4620</v>
      </c>
      <c r="L13" s="84">
        <f>+'Base de Dados'!K19*'Base de Dados'!K22+('Base de Dados'!K20*'Base de Dados'!K24)</f>
        <v>5040</v>
      </c>
      <c r="M13" s="84">
        <f>+'Base de Dados'!L19*'Base de Dados'!L22+('Base de Dados'!L20*'Base de Dados'!L24)</f>
        <v>5460</v>
      </c>
      <c r="N13" s="90">
        <f>+'Base de Dados'!M19*'Base de Dados'!M22+('Base de Dados'!M20*'Base de Dados'!M24)</f>
        <v>5880</v>
      </c>
      <c r="O13" s="77">
        <f t="shared" si="1"/>
        <v>42000</v>
      </c>
      <c r="P13" s="91">
        <f>+O13+C34</f>
        <v>48440</v>
      </c>
      <c r="Q13" s="74"/>
    </row>
    <row r="14" spans="1:17" ht="15.75" x14ac:dyDescent="0.25">
      <c r="A14" s="191"/>
      <c r="B14" s="80" t="s">
        <v>25</v>
      </c>
      <c r="C14" s="84"/>
      <c r="D14" s="84"/>
      <c r="E14" s="84">
        <f>+D5*0.06</f>
        <v>420</v>
      </c>
      <c r="F14" s="84">
        <f t="shared" ref="F14:N14" si="4">+E5*0.06</f>
        <v>462</v>
      </c>
      <c r="G14" s="84">
        <f t="shared" si="4"/>
        <v>504</v>
      </c>
      <c r="H14" s="84">
        <f t="shared" si="4"/>
        <v>546</v>
      </c>
      <c r="I14" s="84">
        <f t="shared" si="4"/>
        <v>588</v>
      </c>
      <c r="J14" s="84">
        <f t="shared" si="4"/>
        <v>630</v>
      </c>
      <c r="K14" s="84">
        <f t="shared" si="4"/>
        <v>693</v>
      </c>
      <c r="L14" s="84">
        <f t="shared" si="4"/>
        <v>756</v>
      </c>
      <c r="M14" s="84">
        <f t="shared" si="4"/>
        <v>819</v>
      </c>
      <c r="N14" s="84">
        <f t="shared" si="4"/>
        <v>882</v>
      </c>
      <c r="O14" s="77">
        <f t="shared" si="1"/>
        <v>6300</v>
      </c>
      <c r="P14" s="74"/>
      <c r="Q14" s="74"/>
    </row>
    <row r="15" spans="1:17" ht="15.75" x14ac:dyDescent="0.25">
      <c r="A15" s="191"/>
      <c r="B15" s="80" t="str">
        <f>+'DESPESA FIXA MENSAL'!A6</f>
        <v>Pró-labore dos sócios</v>
      </c>
      <c r="C15" s="84">
        <f>+'DESPESA FIXA MENSAL'!B6</f>
        <v>8000</v>
      </c>
      <c r="D15" s="84">
        <f>+'DESPESA FIXA MENSAL'!C6</f>
        <v>8000</v>
      </c>
      <c r="E15" s="84">
        <f>+'DESPESA FIXA MENSAL'!D6</f>
        <v>8000</v>
      </c>
      <c r="F15" s="84">
        <f>+'DESPESA FIXA MENSAL'!E6</f>
        <v>8000</v>
      </c>
      <c r="G15" s="84">
        <f>+'DESPESA FIXA MENSAL'!F6</f>
        <v>8000</v>
      </c>
      <c r="H15" s="84">
        <f>+'DESPESA FIXA MENSAL'!G6</f>
        <v>8000</v>
      </c>
      <c r="I15" s="84">
        <f>+'DESPESA FIXA MENSAL'!H6</f>
        <v>8000</v>
      </c>
      <c r="J15" s="84">
        <f>+'DESPESA FIXA MENSAL'!I6</f>
        <v>8000</v>
      </c>
      <c r="K15" s="84">
        <f>+'DESPESA FIXA MENSAL'!J6</f>
        <v>8000</v>
      </c>
      <c r="L15" s="84">
        <f>+'DESPESA FIXA MENSAL'!K6</f>
        <v>8000</v>
      </c>
      <c r="M15" s="84">
        <f>+'DESPESA FIXA MENSAL'!L6</f>
        <v>8000</v>
      </c>
      <c r="N15" s="84">
        <f>+'DESPESA FIXA MENSAL'!M6</f>
        <v>8000</v>
      </c>
      <c r="O15" s="77">
        <f t="shared" si="1"/>
        <v>96000</v>
      </c>
      <c r="P15" s="74"/>
      <c r="Q15" s="74"/>
    </row>
    <row r="16" spans="1:17" ht="15.75" x14ac:dyDescent="0.25">
      <c r="A16" s="191"/>
      <c r="B16" s="80" t="s">
        <v>57</v>
      </c>
      <c r="C16" s="84">
        <f>+'DESPESA FIXA MENSAL'!B8</f>
        <v>1700</v>
      </c>
      <c r="D16" s="84">
        <f>+'DESPESA FIXA MENSAL'!C8</f>
        <v>1700</v>
      </c>
      <c r="E16" s="84">
        <f>+'DESPESA FIXA MENSAL'!D8</f>
        <v>1700</v>
      </c>
      <c r="F16" s="84">
        <f>+'DESPESA FIXA MENSAL'!E8</f>
        <v>1700</v>
      </c>
      <c r="G16" s="84">
        <f>+'DESPESA FIXA MENSAL'!F8</f>
        <v>1700</v>
      </c>
      <c r="H16" s="84">
        <f>+'DESPESA FIXA MENSAL'!G8</f>
        <v>1700</v>
      </c>
      <c r="I16" s="84">
        <f>+'DESPESA FIXA MENSAL'!H8</f>
        <v>1700</v>
      </c>
      <c r="J16" s="84">
        <f>+'DESPESA FIXA MENSAL'!I8</f>
        <v>1700</v>
      </c>
      <c r="K16" s="84">
        <f>+'DESPESA FIXA MENSAL'!J8</f>
        <v>1700</v>
      </c>
      <c r="L16" s="84">
        <f>+'DESPESA FIXA MENSAL'!K8</f>
        <v>1700</v>
      </c>
      <c r="M16" s="84">
        <f>+'DESPESA FIXA MENSAL'!L8</f>
        <v>1700</v>
      </c>
      <c r="N16" s="84">
        <f>+'DESPESA FIXA MENSAL'!M8</f>
        <v>1700</v>
      </c>
      <c r="O16" s="77">
        <f t="shared" si="1"/>
        <v>20400</v>
      </c>
      <c r="P16" s="74"/>
      <c r="Q16" s="74"/>
    </row>
    <row r="17" spans="1:17" ht="15.75" x14ac:dyDescent="0.25">
      <c r="A17" s="191"/>
      <c r="B17" s="80" t="s">
        <v>93</v>
      </c>
      <c r="C17" s="84">
        <f>+'DESPESA FIXA MENSAL'!B4+'DESPESA FIXA MENSAL'!B5+'DESPESA FIXA MENSAL'!B17</f>
        <v>7000</v>
      </c>
      <c r="D17" s="84">
        <f>+'DESPESA FIXA MENSAL'!C4+'DESPESA FIXA MENSAL'!C5+'DESPESA FIXA MENSAL'!C17</f>
        <v>7000</v>
      </c>
      <c r="E17" s="84">
        <f>+'DESPESA FIXA MENSAL'!D4+'DESPESA FIXA MENSAL'!D5+'DESPESA FIXA MENSAL'!D17</f>
        <v>7000</v>
      </c>
      <c r="F17" s="84">
        <f>+'DESPESA FIXA MENSAL'!E4+'DESPESA FIXA MENSAL'!E5+'DESPESA FIXA MENSAL'!E17</f>
        <v>7000</v>
      </c>
      <c r="G17" s="84">
        <f>+'DESPESA FIXA MENSAL'!F4+'DESPESA FIXA MENSAL'!F5+'DESPESA FIXA MENSAL'!F17</f>
        <v>7000</v>
      </c>
      <c r="H17" s="84">
        <f>+'DESPESA FIXA MENSAL'!G4+'DESPESA FIXA MENSAL'!G5+'DESPESA FIXA MENSAL'!G17</f>
        <v>7000</v>
      </c>
      <c r="I17" s="84">
        <f>+'DESPESA FIXA MENSAL'!H4+'DESPESA FIXA MENSAL'!H5+'DESPESA FIXA MENSAL'!H17</f>
        <v>7000</v>
      </c>
      <c r="J17" s="84">
        <f>+'DESPESA FIXA MENSAL'!I4+'DESPESA FIXA MENSAL'!I5+'DESPESA FIXA MENSAL'!I17</f>
        <v>7000</v>
      </c>
      <c r="K17" s="84">
        <f>+'DESPESA FIXA MENSAL'!J4+'DESPESA FIXA MENSAL'!J5+'DESPESA FIXA MENSAL'!J17</f>
        <v>7000</v>
      </c>
      <c r="L17" s="84">
        <f>+'DESPESA FIXA MENSAL'!K4+'DESPESA FIXA MENSAL'!K5+'DESPESA FIXA MENSAL'!K17</f>
        <v>7000</v>
      </c>
      <c r="M17" s="84">
        <f>+'DESPESA FIXA MENSAL'!L4+'DESPESA FIXA MENSAL'!L5+'DESPESA FIXA MENSAL'!L17</f>
        <v>7000</v>
      </c>
      <c r="N17" s="84">
        <f>+'DESPESA FIXA MENSAL'!M4+'DESPESA FIXA MENSAL'!M5+'DESPESA FIXA MENSAL'!M17</f>
        <v>7000</v>
      </c>
      <c r="O17" s="77">
        <f t="shared" si="1"/>
        <v>84000</v>
      </c>
      <c r="P17" s="74"/>
      <c r="Q17" s="74"/>
    </row>
    <row r="18" spans="1:17" ht="16.5" thickBot="1" x14ac:dyDescent="0.3">
      <c r="A18" s="191"/>
      <c r="B18" s="80" t="s">
        <v>26</v>
      </c>
      <c r="C18" s="84">
        <f>SUM('DESPESA FIXA MENSAL'!B9:B16)+'DESPESA FIXA MENSAL'!B7+'DESPESA FIXA MENSAL'!B18</f>
        <v>4258</v>
      </c>
      <c r="D18" s="84">
        <f>SUM('DESPESA FIXA MENSAL'!C9:C16)+'DESPESA FIXA MENSAL'!C7+'DESPESA FIXA MENSAL'!C18</f>
        <v>4258</v>
      </c>
      <c r="E18" s="84">
        <f>SUM('DESPESA FIXA MENSAL'!D9:D16)+'DESPESA FIXA MENSAL'!D7+'DESPESA FIXA MENSAL'!D18</f>
        <v>4258</v>
      </c>
      <c r="F18" s="84">
        <f>SUM('DESPESA FIXA MENSAL'!E9:E16)+'DESPESA FIXA MENSAL'!E7+'DESPESA FIXA MENSAL'!E18</f>
        <v>4258</v>
      </c>
      <c r="G18" s="84">
        <f>SUM('DESPESA FIXA MENSAL'!F9:F16)+'DESPESA FIXA MENSAL'!F7+'DESPESA FIXA MENSAL'!F18</f>
        <v>4258</v>
      </c>
      <c r="H18" s="84">
        <f>SUM('DESPESA FIXA MENSAL'!G9:G16)+'DESPESA FIXA MENSAL'!G7+'DESPESA FIXA MENSAL'!G18</f>
        <v>4258</v>
      </c>
      <c r="I18" s="84">
        <f>SUM('DESPESA FIXA MENSAL'!H9:H16)+'DESPESA FIXA MENSAL'!H7+'DESPESA FIXA MENSAL'!H18</f>
        <v>4258</v>
      </c>
      <c r="J18" s="84">
        <f>SUM('DESPESA FIXA MENSAL'!I9:I16)+'DESPESA FIXA MENSAL'!I7+'DESPESA FIXA MENSAL'!I18</f>
        <v>4258</v>
      </c>
      <c r="K18" s="84">
        <f>SUM('DESPESA FIXA MENSAL'!J9:J16)+'DESPESA FIXA MENSAL'!J7+'DESPESA FIXA MENSAL'!J18</f>
        <v>4258</v>
      </c>
      <c r="L18" s="84">
        <f>SUM('DESPESA FIXA MENSAL'!K9:K16)+'DESPESA FIXA MENSAL'!K7+'DESPESA FIXA MENSAL'!K18</f>
        <v>4258</v>
      </c>
      <c r="M18" s="84">
        <f>SUM('DESPESA FIXA MENSAL'!L9:L16)+'DESPESA FIXA MENSAL'!L7+'DESPESA FIXA MENSAL'!L18</f>
        <v>4258</v>
      </c>
      <c r="N18" s="84">
        <f>SUM('DESPESA FIXA MENSAL'!M9:M16)+'DESPESA FIXA MENSAL'!M7+'DESPESA FIXA MENSAL'!M18</f>
        <v>4258</v>
      </c>
      <c r="O18" s="77">
        <f t="shared" si="1"/>
        <v>51096</v>
      </c>
      <c r="P18" s="82">
        <f>SUM(O15:O18)</f>
        <v>251496</v>
      </c>
      <c r="Q18" s="74"/>
    </row>
    <row r="19" spans="1:17" ht="32.25" thickBot="1" x14ac:dyDescent="0.3">
      <c r="A19" s="192"/>
      <c r="B19" s="92" t="s">
        <v>27</v>
      </c>
      <c r="C19" s="93">
        <f t="shared" ref="C19:H19" si="5">SUM(C12:C18)</f>
        <v>20958</v>
      </c>
      <c r="D19" s="93">
        <f t="shared" si="5"/>
        <v>20958</v>
      </c>
      <c r="E19" s="93">
        <f t="shared" si="5"/>
        <v>24178</v>
      </c>
      <c r="F19" s="93">
        <f t="shared" si="5"/>
        <v>24500</v>
      </c>
      <c r="G19" s="93">
        <f t="shared" si="5"/>
        <v>24822</v>
      </c>
      <c r="H19" s="93">
        <f t="shared" si="5"/>
        <v>25144</v>
      </c>
      <c r="I19" s="93">
        <f t="shared" ref="I19:N19" si="6">SUM(I12:I18)</f>
        <v>25466</v>
      </c>
      <c r="J19" s="93">
        <f t="shared" si="6"/>
        <v>25788</v>
      </c>
      <c r="K19" s="93">
        <f t="shared" si="6"/>
        <v>26271</v>
      </c>
      <c r="L19" s="93">
        <f t="shared" si="6"/>
        <v>26754</v>
      </c>
      <c r="M19" s="93">
        <f t="shared" si="6"/>
        <v>27237</v>
      </c>
      <c r="N19" s="93">
        <f t="shared" si="6"/>
        <v>27720</v>
      </c>
      <c r="O19" s="89">
        <f t="shared" si="1"/>
        <v>299796</v>
      </c>
      <c r="P19" s="74"/>
      <c r="Q19" s="74"/>
    </row>
    <row r="20" spans="1:17" ht="16.5" thickBot="1" x14ac:dyDescent="0.3">
      <c r="A20" s="193"/>
      <c r="B20" s="80" t="s">
        <v>32</v>
      </c>
      <c r="C20" s="84">
        <f t="shared" ref="C20:N20" si="7">C11-C19</f>
        <v>-20958</v>
      </c>
      <c r="D20" s="84">
        <f t="shared" si="7"/>
        <v>-13958</v>
      </c>
      <c r="E20" s="84">
        <f t="shared" si="7"/>
        <v>-16478</v>
      </c>
      <c r="F20" s="84">
        <f t="shared" si="7"/>
        <v>-16100</v>
      </c>
      <c r="G20" s="84">
        <f t="shared" si="7"/>
        <v>-15722</v>
      </c>
      <c r="H20" s="84">
        <f t="shared" si="7"/>
        <v>-15344</v>
      </c>
      <c r="I20" s="84">
        <f t="shared" si="7"/>
        <v>-14966</v>
      </c>
      <c r="J20" s="84">
        <f t="shared" si="7"/>
        <v>-14238</v>
      </c>
      <c r="K20" s="84">
        <f t="shared" si="7"/>
        <v>-13671</v>
      </c>
      <c r="L20" s="84">
        <f t="shared" si="7"/>
        <v>-13104</v>
      </c>
      <c r="M20" s="84">
        <f t="shared" si="7"/>
        <v>-12537</v>
      </c>
      <c r="N20" s="84">
        <f t="shared" si="7"/>
        <v>-11620</v>
      </c>
      <c r="O20" s="77">
        <f t="shared" si="1"/>
        <v>-178696</v>
      </c>
      <c r="P20" s="74"/>
      <c r="Q20" s="74"/>
    </row>
    <row r="21" spans="1:17" ht="31.5" customHeight="1" thickBot="1" x14ac:dyDescent="0.3">
      <c r="A21" s="194"/>
      <c r="B21" s="94" t="s">
        <v>29</v>
      </c>
      <c r="C21" s="95">
        <f>+C11+C3-C19</f>
        <v>217097.5</v>
      </c>
      <c r="D21" s="95">
        <f t="shared" ref="D21:N21" si="8">+D11+D3-D19</f>
        <v>203139.5</v>
      </c>
      <c r="E21" s="95">
        <f t="shared" si="8"/>
        <v>186661.5</v>
      </c>
      <c r="F21" s="95">
        <f t="shared" si="8"/>
        <v>170561.5</v>
      </c>
      <c r="G21" s="95">
        <f t="shared" si="8"/>
        <v>154839.5</v>
      </c>
      <c r="H21" s="95">
        <f t="shared" si="8"/>
        <v>139495.5</v>
      </c>
      <c r="I21" s="95">
        <f t="shared" si="8"/>
        <v>124529.5</v>
      </c>
      <c r="J21" s="95">
        <f t="shared" si="8"/>
        <v>110291.5</v>
      </c>
      <c r="K21" s="95">
        <f t="shared" si="8"/>
        <v>96620.5</v>
      </c>
      <c r="L21" s="95">
        <f t="shared" si="8"/>
        <v>83516.5</v>
      </c>
      <c r="M21" s="95">
        <f t="shared" si="8"/>
        <v>70979.5</v>
      </c>
      <c r="N21" s="95">
        <f t="shared" si="8"/>
        <v>59359.5</v>
      </c>
      <c r="O21" s="77"/>
      <c r="P21" s="74"/>
      <c r="Q21" s="74"/>
    </row>
    <row r="22" spans="1:17" ht="14.25" customHeight="1" x14ac:dyDescent="0.25"/>
    <row r="23" spans="1:17" ht="16.5" thickBot="1" x14ac:dyDescent="0.3">
      <c r="A23" s="115"/>
      <c r="B23" s="115"/>
      <c r="C23" s="163" t="s">
        <v>114</v>
      </c>
      <c r="D23" s="163" t="s">
        <v>115</v>
      </c>
      <c r="E23" s="163" t="s">
        <v>116</v>
      </c>
      <c r="F23" s="163" t="s">
        <v>117</v>
      </c>
      <c r="G23" s="163" t="s">
        <v>118</v>
      </c>
      <c r="H23" s="163" t="s">
        <v>119</v>
      </c>
      <c r="I23" s="163" t="s">
        <v>120</v>
      </c>
      <c r="J23" s="163" t="s">
        <v>121</v>
      </c>
      <c r="K23" s="163" t="s">
        <v>122</v>
      </c>
      <c r="L23" s="163" t="s">
        <v>123</v>
      </c>
      <c r="M23" s="163" t="s">
        <v>124</v>
      </c>
      <c r="N23" s="163" t="s">
        <v>125</v>
      </c>
      <c r="O23" s="116" t="s">
        <v>31</v>
      </c>
      <c r="P23" s="116"/>
      <c r="Q23" s="116"/>
    </row>
    <row r="24" spans="1:17" ht="16.5" thickBot="1" x14ac:dyDescent="0.3">
      <c r="A24" s="115"/>
      <c r="B24" s="117" t="s">
        <v>28</v>
      </c>
      <c r="C24" s="118">
        <f>+N21</f>
        <v>59359.5</v>
      </c>
      <c r="D24" s="118">
        <f>+C42</f>
        <v>45137.8</v>
      </c>
      <c r="E24" s="118">
        <f>+D42</f>
        <v>33721.700000000004</v>
      </c>
      <c r="F24" s="118">
        <f t="shared" ref="F24" si="9">+E42</f>
        <v>23499.100000000006</v>
      </c>
      <c r="G24" s="118">
        <f t="shared" ref="G24" si="10">+F42</f>
        <v>14316.000000000007</v>
      </c>
      <c r="H24" s="118">
        <f t="shared" ref="H24" si="11">+G42</f>
        <v>6534.3000000000102</v>
      </c>
      <c r="I24" s="118">
        <f t="shared" ref="I24" si="12">+H42</f>
        <v>0</v>
      </c>
      <c r="J24" s="118">
        <f t="shared" ref="J24" si="13">+I42</f>
        <v>-2065.989999999998</v>
      </c>
      <c r="K24" s="118">
        <f t="shared" ref="K24" si="14">+J42</f>
        <v>-4856.5499999999956</v>
      </c>
      <c r="L24" s="118">
        <f t="shared" ref="L24" si="15">+K42</f>
        <v>-5755.9899999999907</v>
      </c>
      <c r="M24" s="118">
        <f t="shared" ref="M24" si="16">+L42</f>
        <v>-4551.0199999999895</v>
      </c>
      <c r="N24" s="118">
        <f t="shared" ref="N24" si="17">+M42</f>
        <v>-1028.3499999999913</v>
      </c>
      <c r="O24" s="119"/>
      <c r="P24" s="116"/>
      <c r="Q24" s="116"/>
    </row>
    <row r="25" spans="1:17" ht="15.75" x14ac:dyDescent="0.25">
      <c r="A25" s="115"/>
      <c r="B25" s="115"/>
      <c r="C25" s="120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16"/>
      <c r="P25" s="116"/>
      <c r="Q25" s="116"/>
    </row>
    <row r="26" spans="1:17" ht="15.95" customHeight="1" x14ac:dyDescent="0.25">
      <c r="A26" s="186" t="s">
        <v>18</v>
      </c>
      <c r="B26" s="122" t="s">
        <v>19</v>
      </c>
      <c r="C26" s="123">
        <f>(+'Base de Dados'!C27*'Base de Dados'!C29+('Base de Dados'!C28*'Base de Dados'!C31))*'Base de Dados'!P27</f>
        <v>17710</v>
      </c>
      <c r="D26" s="124">
        <f>(+'Base de Dados'!D27*'Base de Dados'!D29+('Base de Dados'!D28*'Base de Dados'!D31))*'Base de Dados'!$P$27</f>
        <v>19250</v>
      </c>
      <c r="E26" s="124">
        <f>(+'Base de Dados'!E27*'Base de Dados'!E29+('Base de Dados'!E28*'Base de Dados'!E31))*'Base de Dados'!$P$27</f>
        <v>21175</v>
      </c>
      <c r="F26" s="124">
        <f>(+'Base de Dados'!F27*'Base de Dados'!F29+('Base de Dados'!F28*'Base de Dados'!F31))*'Base de Dados'!$P$27</f>
        <v>23100</v>
      </c>
      <c r="G26" s="124">
        <f>(+'Base de Dados'!G27*'Base de Dados'!G29+('Base de Dados'!G28*'Base de Dados'!G31))*'Base de Dados'!$P$27</f>
        <v>25410</v>
      </c>
      <c r="H26" s="124">
        <f>(+'Base de Dados'!H27*'Base de Dados'!H29+('Base de Dados'!H28*'Base de Dados'!H31))*'Base de Dados'!$P$27</f>
        <v>27720</v>
      </c>
      <c r="I26" s="124">
        <f>(+'Base de Dados'!I27*'Base de Dados'!I29+('Base de Dados'!I28*'Base de Dados'!I31))*'Base de Dados'!$P$27</f>
        <v>33456.5</v>
      </c>
      <c r="J26" s="124">
        <f>(+'Base de Dados'!J27*'Base de Dados'!J29+('Base de Dados'!J28*'Base de Dados'!J31))*'Base de Dados'!$P$27</f>
        <v>36421</v>
      </c>
      <c r="K26" s="124">
        <f>(+'Base de Dados'!K27*'Base de Dados'!K29+('Base de Dados'!K28*'Base de Dados'!K31))*'Base de Dados'!$P$27</f>
        <v>39809</v>
      </c>
      <c r="L26" s="124">
        <f>(+'Base de Dados'!L27*'Base de Dados'!L29+('Base de Dados'!L28*'Base de Dados'!L31))*'Base de Dados'!$P$27</f>
        <v>43620.5</v>
      </c>
      <c r="M26" s="124">
        <f>(+'Base de Dados'!M27*'Base de Dados'!M29+('Base de Dados'!M28*'Base de Dados'!M31))*'Base de Dados'!$P$27</f>
        <v>47855.5</v>
      </c>
      <c r="N26" s="124">
        <f>(+'Base de Dados'!N27*'Base de Dados'!N29+('Base de Dados'!N28*'Base de Dados'!N31))*'Base de Dados'!$P$27</f>
        <v>52514</v>
      </c>
      <c r="O26" s="119">
        <f>SUM(C26:N26)</f>
        <v>388041.5</v>
      </c>
      <c r="P26" s="125">
        <f>+O26</f>
        <v>388041.5</v>
      </c>
      <c r="Q26" s="116">
        <f>+P26/40*50</f>
        <v>485051.875</v>
      </c>
    </row>
    <row r="27" spans="1:17" ht="15.95" customHeight="1" x14ac:dyDescent="0.25">
      <c r="A27" s="186"/>
      <c r="B27" s="126" t="s">
        <v>51</v>
      </c>
      <c r="C27" s="127">
        <f>(+'Base de Dados'!N19*'Base de Dados'!N21+('Base de Dados'!N20*'Base de Dados'!N23))*'Base de Dados'!Q19</f>
        <v>0</v>
      </c>
      <c r="D27" s="123">
        <f>(+'Base de Dados'!C27*'Base de Dados'!C29+('Base de Dados'!C28*'Base de Dados'!C31))*'Base de Dados'!$Q$27</f>
        <v>0</v>
      </c>
      <c r="E27" s="123">
        <f>(+'Base de Dados'!D27*'Base de Dados'!D29+('Base de Dados'!D28*'Base de Dados'!D31))*'Base de Dados'!$Q$27</f>
        <v>0</v>
      </c>
      <c r="F27" s="123">
        <f>(+'Base de Dados'!E27*'Base de Dados'!E29+('Base de Dados'!E28*'Base de Dados'!E31))*'Base de Dados'!$Q$27</f>
        <v>0</v>
      </c>
      <c r="G27" s="123">
        <f>(+'Base de Dados'!F27*'Base de Dados'!F29+('Base de Dados'!F28*'Base de Dados'!F31))*'Base de Dados'!$Q$27</f>
        <v>0</v>
      </c>
      <c r="H27" s="123">
        <f>(+'Base de Dados'!G27*'Base de Dados'!G29+('Base de Dados'!G28*'Base de Dados'!G31))*'Base de Dados'!$Q$27</f>
        <v>0</v>
      </c>
      <c r="I27" s="123">
        <f>(+'Base de Dados'!H27*'Base de Dados'!H29+('Base de Dados'!H28*'Base de Dados'!H31))*'Base de Dados'!$Q$27</f>
        <v>0</v>
      </c>
      <c r="J27" s="123">
        <f>(+'Base de Dados'!I27*'Base de Dados'!I29+('Base de Dados'!I28*'Base de Dados'!I31))*'Base de Dados'!$Q$27</f>
        <v>0</v>
      </c>
      <c r="K27" s="123">
        <f>(+'Base de Dados'!J27*'Base de Dados'!J29+('Base de Dados'!J28*'Base de Dados'!J31))*'Base de Dados'!$Q$27</f>
        <v>0</v>
      </c>
      <c r="L27" s="123">
        <f>(+'Base de Dados'!K27*'Base de Dados'!K29+('Base de Dados'!K28*'Base de Dados'!K31))*'Base de Dados'!$Q$27</f>
        <v>0</v>
      </c>
      <c r="M27" s="123">
        <f>(+'Base de Dados'!L27*'Base de Dados'!L29+('Base de Dados'!L28*'Base de Dados'!L31))*'Base de Dados'!$Q$27</f>
        <v>0</v>
      </c>
      <c r="N27" s="123">
        <f>(+'Base de Dados'!M27*'Base de Dados'!M29+('Base de Dados'!M28*'Base de Dados'!M31))*'Base de Dados'!$Q$27</f>
        <v>0</v>
      </c>
      <c r="O27" s="119">
        <f t="shared" ref="O27:O40" si="18">SUM(C27:N27)</f>
        <v>0</v>
      </c>
      <c r="P27" s="125">
        <f>P26-O27</f>
        <v>388041.5</v>
      </c>
      <c r="Q27" s="116">
        <f>+Q26*2</f>
        <v>970103.75</v>
      </c>
    </row>
    <row r="28" spans="1:17" ht="15.75" x14ac:dyDescent="0.25">
      <c r="A28" s="186"/>
      <c r="B28" s="122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19">
        <f t="shared" si="18"/>
        <v>0</v>
      </c>
      <c r="P28" s="128"/>
      <c r="Q28" s="116"/>
    </row>
    <row r="29" spans="1:17" ht="15.75" x14ac:dyDescent="0.25">
      <c r="A29" s="186"/>
      <c r="B29" s="126"/>
      <c r="C29" s="127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19">
        <f t="shared" si="18"/>
        <v>0</v>
      </c>
      <c r="P29" s="116"/>
      <c r="Q29" s="116"/>
    </row>
    <row r="30" spans="1:17" ht="15.75" x14ac:dyDescent="0.25">
      <c r="A30" s="186"/>
      <c r="B30" s="122" t="s">
        <v>21</v>
      </c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19">
        <f t="shared" si="18"/>
        <v>0</v>
      </c>
      <c r="P30" s="116"/>
      <c r="Q30" s="116"/>
    </row>
    <row r="31" spans="1:17" ht="16.5" thickBot="1" x14ac:dyDescent="0.3">
      <c r="A31" s="186"/>
      <c r="B31" s="122" t="s">
        <v>22</v>
      </c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19">
        <f t="shared" si="18"/>
        <v>0</v>
      </c>
      <c r="P31" s="116"/>
      <c r="Q31" s="116"/>
    </row>
    <row r="32" spans="1:17" ht="32.25" thickBot="1" x14ac:dyDescent="0.3">
      <c r="A32" s="187"/>
      <c r="B32" s="130" t="s">
        <v>23</v>
      </c>
      <c r="C32" s="131">
        <f t="shared" ref="C32:N32" si="19">SUM(C26:C31)</f>
        <v>17710</v>
      </c>
      <c r="D32" s="131">
        <f t="shared" si="19"/>
        <v>19250</v>
      </c>
      <c r="E32" s="131">
        <f t="shared" si="19"/>
        <v>21175</v>
      </c>
      <c r="F32" s="131">
        <f t="shared" si="19"/>
        <v>23100</v>
      </c>
      <c r="G32" s="131">
        <f t="shared" si="19"/>
        <v>25410</v>
      </c>
      <c r="H32" s="131">
        <f t="shared" si="19"/>
        <v>27720</v>
      </c>
      <c r="I32" s="131">
        <f t="shared" si="19"/>
        <v>33456.5</v>
      </c>
      <c r="J32" s="131">
        <f t="shared" si="19"/>
        <v>36421</v>
      </c>
      <c r="K32" s="131">
        <f t="shared" si="19"/>
        <v>39809</v>
      </c>
      <c r="L32" s="131">
        <f t="shared" si="19"/>
        <v>43620.5</v>
      </c>
      <c r="M32" s="131">
        <f t="shared" si="19"/>
        <v>47855.5</v>
      </c>
      <c r="N32" s="131">
        <f t="shared" si="19"/>
        <v>52514</v>
      </c>
      <c r="O32" s="132">
        <f t="shared" si="18"/>
        <v>388041.5</v>
      </c>
      <c r="P32" s="116"/>
      <c r="Q32" s="116"/>
    </row>
    <row r="33" spans="1:17" ht="15.75" x14ac:dyDescent="0.25">
      <c r="A33" s="174" t="s">
        <v>24</v>
      </c>
      <c r="B33" s="126" t="s">
        <v>52</v>
      </c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19">
        <f t="shared" si="18"/>
        <v>0</v>
      </c>
      <c r="P33" s="116"/>
      <c r="Q33" s="116"/>
    </row>
    <row r="34" spans="1:17" ht="15.95" customHeight="1" x14ac:dyDescent="0.25">
      <c r="A34" s="175"/>
      <c r="B34" s="122" t="s">
        <v>53</v>
      </c>
      <c r="C34" s="133">
        <f>+'Base de Dados'!N19*'Base de Dados'!N22+('Base de Dados'!N20*'Base de Dados'!N24)</f>
        <v>6440</v>
      </c>
      <c r="D34" s="124">
        <f>+'Base de Dados'!C27*'Base de Dados'!C30+('Base de Dados'!C28*'Base de Dados'!C32)</f>
        <v>7084</v>
      </c>
      <c r="E34" s="124">
        <f>+'Base de Dados'!D27*'Base de Dados'!D30+('Base de Dados'!D28*'Base de Dados'!D32)</f>
        <v>7700</v>
      </c>
      <c r="F34" s="124">
        <f>+'Base de Dados'!E27*'Base de Dados'!E30+('Base de Dados'!E28*'Base de Dados'!E32)</f>
        <v>8470</v>
      </c>
      <c r="G34" s="124">
        <f>+'Base de Dados'!F27*'Base de Dados'!F30+('Base de Dados'!F28*'Base de Dados'!F32)</f>
        <v>9240</v>
      </c>
      <c r="H34" s="124">
        <f>+'Base de Dados'!G27*'Base de Dados'!G30+('Base de Dados'!G28*'Base de Dados'!G32)</f>
        <v>10164</v>
      </c>
      <c r="I34" s="124">
        <f>+'Base de Dados'!H27*'Base de Dados'!H30+('Base de Dados'!H28*'Base de Dados'!H32)</f>
        <v>11088</v>
      </c>
      <c r="J34" s="124">
        <f>+'Base de Dados'!I27*'Base de Dados'!I30+('Base de Dados'!I28*'Base de Dados'!I32)</f>
        <v>14599.2</v>
      </c>
      <c r="K34" s="124">
        <f>+'Base de Dados'!J27*'Base de Dados'!J30+('Base de Dados'!J28*'Base de Dados'!J32)</f>
        <v>15892.800000000001</v>
      </c>
      <c r="L34" s="124">
        <f>+'Base de Dados'!K27*'Base de Dados'!K30+('Base de Dados'!K28*'Base de Dados'!K32)</f>
        <v>17371.2</v>
      </c>
      <c r="M34" s="124">
        <f>+'Base de Dados'!L27*'Base de Dados'!L30+('Base de Dados'!L28*'Base de Dados'!L32)</f>
        <v>19034.400000000001</v>
      </c>
      <c r="N34" s="124">
        <f>+'Base de Dados'!M27*'Base de Dados'!M30+('Base de Dados'!M28*'Base de Dados'!M32)</f>
        <v>20882.400000000001</v>
      </c>
      <c r="O34" s="119">
        <f t="shared" si="18"/>
        <v>147966</v>
      </c>
      <c r="P34" s="91">
        <f>+O34+C55</f>
        <v>170881.2</v>
      </c>
      <c r="Q34" s="116"/>
    </row>
    <row r="35" spans="1:17" ht="15.75" x14ac:dyDescent="0.25">
      <c r="A35" s="175"/>
      <c r="B35" s="122" t="s">
        <v>25</v>
      </c>
      <c r="C35" s="124">
        <f>C32*0.06</f>
        <v>1062.5999999999999</v>
      </c>
      <c r="D35" s="124">
        <f t="shared" ref="D35:N35" si="20">D32*0.06</f>
        <v>1155</v>
      </c>
      <c r="E35" s="124">
        <f t="shared" si="20"/>
        <v>1270.5</v>
      </c>
      <c r="F35" s="124">
        <f t="shared" si="20"/>
        <v>1386</v>
      </c>
      <c r="G35" s="124">
        <f t="shared" si="20"/>
        <v>1524.6</v>
      </c>
      <c r="H35" s="124">
        <f t="shared" si="20"/>
        <v>1663.2</v>
      </c>
      <c r="I35" s="124">
        <f t="shared" si="20"/>
        <v>2007.3899999999999</v>
      </c>
      <c r="J35" s="124">
        <f t="shared" si="20"/>
        <v>2185.2599999999998</v>
      </c>
      <c r="K35" s="124">
        <f t="shared" si="20"/>
        <v>2388.54</v>
      </c>
      <c r="L35" s="124">
        <f t="shared" si="20"/>
        <v>2617.23</v>
      </c>
      <c r="M35" s="124">
        <f t="shared" si="20"/>
        <v>2871.33</v>
      </c>
      <c r="N35" s="124">
        <f t="shared" si="20"/>
        <v>3150.8399999999997</v>
      </c>
      <c r="O35" s="119">
        <f t="shared" si="18"/>
        <v>23282.49</v>
      </c>
      <c r="P35" s="116"/>
      <c r="Q35" s="116"/>
    </row>
    <row r="36" spans="1:17" ht="15.75" x14ac:dyDescent="0.25">
      <c r="A36" s="175"/>
      <c r="B36" s="122" t="str">
        <f>+'DESPESA FIXA MENSAL'!A27</f>
        <v>Pró-labore dos sócios</v>
      </c>
      <c r="C36" s="124">
        <f>C15+C15*0.2</f>
        <v>9600</v>
      </c>
      <c r="D36" s="124">
        <f t="shared" ref="D36:N36" si="21">D15+D15*0.2</f>
        <v>9600</v>
      </c>
      <c r="E36" s="124">
        <f t="shared" si="21"/>
        <v>9600</v>
      </c>
      <c r="F36" s="124">
        <f t="shared" si="21"/>
        <v>9600</v>
      </c>
      <c r="G36" s="124">
        <f t="shared" si="21"/>
        <v>9600</v>
      </c>
      <c r="H36" s="124">
        <f t="shared" si="21"/>
        <v>9600</v>
      </c>
      <c r="I36" s="124">
        <f t="shared" si="21"/>
        <v>9600</v>
      </c>
      <c r="J36" s="124">
        <f t="shared" si="21"/>
        <v>9600</v>
      </c>
      <c r="K36" s="124">
        <f t="shared" si="21"/>
        <v>9600</v>
      </c>
      <c r="L36" s="124">
        <f t="shared" si="21"/>
        <v>9600</v>
      </c>
      <c r="M36" s="124">
        <f t="shared" si="21"/>
        <v>9600</v>
      </c>
      <c r="N36" s="124">
        <f t="shared" si="21"/>
        <v>9600</v>
      </c>
      <c r="O36" s="119">
        <f t="shared" si="18"/>
        <v>115200</v>
      </c>
      <c r="P36" s="116"/>
      <c r="Q36" s="116"/>
    </row>
    <row r="37" spans="1:17" ht="15.75" x14ac:dyDescent="0.25">
      <c r="A37" s="175"/>
      <c r="B37" s="122" t="s">
        <v>57</v>
      </c>
      <c r="C37" s="124">
        <f>'DESPESA FIXA MENSAL'!B29</f>
        <v>2431</v>
      </c>
      <c r="D37" s="124">
        <f>+'DESPESA FIXA MENSAL'!C30</f>
        <v>429</v>
      </c>
      <c r="E37" s="124">
        <f>+'DESPESA FIXA MENSAL'!D30</f>
        <v>429</v>
      </c>
      <c r="F37" s="124">
        <f>+'DESPESA FIXA MENSAL'!E30</f>
        <v>429</v>
      </c>
      <c r="G37" s="124">
        <f>+'DESPESA FIXA MENSAL'!F30</f>
        <v>429</v>
      </c>
      <c r="H37" s="124">
        <f>+'DESPESA FIXA MENSAL'!G30</f>
        <v>429</v>
      </c>
      <c r="I37" s="124">
        <f>+'DESPESA FIXA MENSAL'!H30</f>
        <v>429</v>
      </c>
      <c r="J37" s="124">
        <f>+'DESPESA FIXA MENSAL'!I30</f>
        <v>429</v>
      </c>
      <c r="K37" s="124">
        <f>+'DESPESA FIXA MENSAL'!J30</f>
        <v>429</v>
      </c>
      <c r="L37" s="124">
        <f>+'DESPESA FIXA MENSAL'!K30</f>
        <v>429</v>
      </c>
      <c r="M37" s="124">
        <f>+'DESPESA FIXA MENSAL'!L30</f>
        <v>429</v>
      </c>
      <c r="N37" s="124">
        <f>+'DESPESA FIXA MENSAL'!M30</f>
        <v>429</v>
      </c>
      <c r="O37" s="119">
        <f t="shared" si="18"/>
        <v>7150</v>
      </c>
      <c r="P37" s="116"/>
      <c r="Q37" s="116"/>
    </row>
    <row r="38" spans="1:17" ht="15.75" x14ac:dyDescent="0.25">
      <c r="A38" s="175"/>
      <c r="B38" s="122" t="s">
        <v>93</v>
      </c>
      <c r="C38" s="124" cm="1">
        <f t="array" ref="C38">SUM('DESPESA FIXA MENSAL'!B25:B26+'DESPESA FIXA MENSAL'!B39)</f>
        <v>6578</v>
      </c>
      <c r="D38" s="124" cm="1">
        <f t="array" ref="D38">SUM('DESPESA FIXA MENSAL'!C25:C26+'DESPESA FIXA MENSAL'!C39)</f>
        <v>6578</v>
      </c>
      <c r="E38" s="124" cm="1">
        <f t="array" ref="E38">SUM('DESPESA FIXA MENSAL'!D25:D26+'DESPESA FIXA MENSAL'!D39)</f>
        <v>6578</v>
      </c>
      <c r="F38" s="124" cm="1">
        <f t="array" ref="F38">SUM('DESPESA FIXA MENSAL'!E25:E26+'DESPESA FIXA MENSAL'!E39)</f>
        <v>6578</v>
      </c>
      <c r="G38" s="124" cm="1">
        <f t="array" ref="G38">SUM('DESPESA FIXA MENSAL'!F25:F26+'DESPESA FIXA MENSAL'!F39)</f>
        <v>6578</v>
      </c>
      <c r="H38" s="124" cm="1">
        <f t="array" ref="H38">SUM('DESPESA FIXA MENSAL'!G25:G26+'DESPESA FIXA MENSAL'!G39)</f>
        <v>6578</v>
      </c>
      <c r="I38" s="124" cm="1">
        <f t="array" ref="I38">SUM('DESPESA FIXA MENSAL'!H25:H26+'DESPESA FIXA MENSAL'!H39)</f>
        <v>6578</v>
      </c>
      <c r="J38" s="124" cm="1">
        <f t="array" ref="J38">SUM('DESPESA FIXA MENSAL'!I25:I26+'DESPESA FIXA MENSAL'!I39)</f>
        <v>6578</v>
      </c>
      <c r="K38" s="124" cm="1">
        <f t="array" ref="K38">SUM('DESPESA FIXA MENSAL'!J25:J26+'DESPESA FIXA MENSAL'!J39)</f>
        <v>6578</v>
      </c>
      <c r="L38" s="124" cm="1">
        <f t="array" ref="L38">SUM('DESPESA FIXA MENSAL'!K25:K26+'DESPESA FIXA MENSAL'!K39)</f>
        <v>6578</v>
      </c>
      <c r="M38" s="124" cm="1">
        <f t="array" ref="M38">SUM('DESPESA FIXA MENSAL'!L25:L26+'DESPESA FIXA MENSAL'!L39)</f>
        <v>6578</v>
      </c>
      <c r="N38" s="124" cm="1">
        <f t="array" ref="N38">SUM('DESPESA FIXA MENSAL'!M25:M26+'DESPESA FIXA MENSAL'!M39)</f>
        <v>6578</v>
      </c>
      <c r="O38" s="119">
        <f t="shared" si="18"/>
        <v>78936</v>
      </c>
      <c r="P38" s="116"/>
      <c r="Q38" s="116"/>
    </row>
    <row r="39" spans="1:17" ht="16.5" thickBot="1" x14ac:dyDescent="0.3">
      <c r="A39" s="175"/>
      <c r="B39" s="122" t="s">
        <v>26</v>
      </c>
      <c r="C39" s="124">
        <f>SUM('DESPESA FIXA MENSAL'!B30:B37)+'DESPESA FIXA MENSAL'!B39</f>
        <v>5820.1</v>
      </c>
      <c r="D39" s="124">
        <f>SUM('DESPESA FIXA MENSAL'!C30:C37)+'DESPESA FIXA MENSAL'!C39</f>
        <v>5820.1</v>
      </c>
      <c r="E39" s="124">
        <f>SUM('DESPESA FIXA MENSAL'!D30:D37)+'DESPESA FIXA MENSAL'!D39</f>
        <v>5820.1</v>
      </c>
      <c r="F39" s="124">
        <f>SUM('DESPESA FIXA MENSAL'!E30:E37)+'DESPESA FIXA MENSAL'!E39</f>
        <v>5820.1</v>
      </c>
      <c r="G39" s="124">
        <f>SUM('DESPESA FIXA MENSAL'!F30:F37)+'DESPESA FIXA MENSAL'!F39</f>
        <v>5820.1</v>
      </c>
      <c r="H39" s="124">
        <f>SUM('DESPESA FIXA MENSAL'!G30:G37)+'DESPESA FIXA MENSAL'!G39</f>
        <v>5820.1</v>
      </c>
      <c r="I39" s="124">
        <f>SUM('DESPESA FIXA MENSAL'!H30:H37)+'DESPESA FIXA MENSAL'!H39</f>
        <v>5820.1</v>
      </c>
      <c r="J39" s="124">
        <f>SUM('DESPESA FIXA MENSAL'!I30:I37)+'DESPESA FIXA MENSAL'!I39</f>
        <v>5820.1</v>
      </c>
      <c r="K39" s="124">
        <f>SUM('DESPESA FIXA MENSAL'!J30:J37)+'DESPESA FIXA MENSAL'!J39</f>
        <v>5820.1</v>
      </c>
      <c r="L39" s="124">
        <f>SUM('DESPESA FIXA MENSAL'!K30:K37)+'DESPESA FIXA MENSAL'!K39</f>
        <v>5820.1</v>
      </c>
      <c r="M39" s="124">
        <f>SUM('DESPESA FIXA MENSAL'!L30:L37)+'DESPESA FIXA MENSAL'!L39</f>
        <v>5820.1</v>
      </c>
      <c r="N39" s="124">
        <f>SUM('DESPESA FIXA MENSAL'!M30:M37)+'DESPESA FIXA MENSAL'!M39</f>
        <v>5820.1</v>
      </c>
      <c r="O39" s="119">
        <f t="shared" si="18"/>
        <v>69841.2</v>
      </c>
      <c r="P39" s="82">
        <f>SUM(O36:O39)</f>
        <v>271127.2</v>
      </c>
      <c r="Q39" s="116"/>
    </row>
    <row r="40" spans="1:17" ht="32.25" thickBot="1" x14ac:dyDescent="0.3">
      <c r="A40" s="176"/>
      <c r="B40" s="134" t="s">
        <v>27</v>
      </c>
      <c r="C40" s="135">
        <f>SUM(C33:C39)</f>
        <v>31931.699999999997</v>
      </c>
      <c r="D40" s="135">
        <f t="shared" ref="D40:H40" si="22">SUM(D33:D39)</f>
        <v>30666.1</v>
      </c>
      <c r="E40" s="135">
        <f t="shared" si="22"/>
        <v>31397.599999999999</v>
      </c>
      <c r="F40" s="135">
        <f t="shared" si="22"/>
        <v>32283.1</v>
      </c>
      <c r="G40" s="135">
        <f t="shared" si="22"/>
        <v>33191.699999999997</v>
      </c>
      <c r="H40" s="135">
        <f t="shared" si="22"/>
        <v>34254.300000000003</v>
      </c>
      <c r="I40" s="135">
        <f t="shared" ref="I40:N40" si="23">SUM(I33:I39)</f>
        <v>35522.49</v>
      </c>
      <c r="J40" s="135">
        <f t="shared" si="23"/>
        <v>39211.56</v>
      </c>
      <c r="K40" s="135">
        <f t="shared" si="23"/>
        <v>40708.439999999995</v>
      </c>
      <c r="L40" s="135">
        <f t="shared" si="23"/>
        <v>42415.53</v>
      </c>
      <c r="M40" s="135">
        <f t="shared" si="23"/>
        <v>44332.83</v>
      </c>
      <c r="N40" s="135">
        <f t="shared" si="23"/>
        <v>46460.340000000004</v>
      </c>
      <c r="O40" s="132">
        <f t="shared" si="18"/>
        <v>442375.69000000006</v>
      </c>
      <c r="P40" s="116"/>
      <c r="Q40" s="116"/>
    </row>
    <row r="41" spans="1:17" ht="16.5" thickBot="1" x14ac:dyDescent="0.3">
      <c r="A41" s="177"/>
      <c r="B41" s="122" t="s">
        <v>32</v>
      </c>
      <c r="C41" s="124">
        <f t="shared" ref="C41" si="24">C32-C40</f>
        <v>-14221.699999999997</v>
      </c>
      <c r="D41" s="124">
        <f t="shared" ref="D41" si="25">D32-D40</f>
        <v>-11416.099999999999</v>
      </c>
      <c r="E41" s="124">
        <f t="shared" ref="E41" si="26">E32-E40</f>
        <v>-10222.599999999999</v>
      </c>
      <c r="F41" s="124">
        <f t="shared" ref="F41" si="27">F32-F40</f>
        <v>-9183.0999999999985</v>
      </c>
      <c r="G41" s="124">
        <f t="shared" ref="G41" si="28">G32-G40</f>
        <v>-7781.6999999999971</v>
      </c>
      <c r="H41" s="124">
        <f t="shared" ref="H41" si="29">H32-H40</f>
        <v>-6534.3000000000029</v>
      </c>
      <c r="I41" s="124">
        <f t="shared" ref="I41" si="30">I32-I40</f>
        <v>-2065.989999999998</v>
      </c>
      <c r="J41" s="124">
        <f t="shared" ref="J41" si="31">J32-J40</f>
        <v>-2790.5599999999977</v>
      </c>
      <c r="K41" s="124">
        <f t="shared" ref="K41" si="32">K32-K40</f>
        <v>-899.43999999999505</v>
      </c>
      <c r="L41" s="124">
        <f t="shared" ref="L41" si="33">L32-L40</f>
        <v>1204.9700000000012</v>
      </c>
      <c r="M41" s="124">
        <f t="shared" ref="M41" si="34">M32-M40</f>
        <v>3522.6699999999983</v>
      </c>
      <c r="N41" s="124">
        <f t="shared" ref="N41" si="35">N32-N40</f>
        <v>6053.6599999999962</v>
      </c>
      <c r="O41" s="119">
        <f>SUM(C41:H41)</f>
        <v>-59359.499999999993</v>
      </c>
      <c r="P41" s="128">
        <f>O41+O20</f>
        <v>-238055.5</v>
      </c>
      <c r="Q41" s="116"/>
    </row>
    <row r="42" spans="1:17" ht="32.25" thickBot="1" x14ac:dyDescent="0.3">
      <c r="A42" s="178"/>
      <c r="B42" s="136" t="s">
        <v>29</v>
      </c>
      <c r="C42" s="137">
        <f>+C32+C24-C40</f>
        <v>45137.8</v>
      </c>
      <c r="D42" s="137">
        <f t="shared" ref="D42:N42" si="36">+D32+D24-D40</f>
        <v>33721.700000000004</v>
      </c>
      <c r="E42" s="137">
        <f t="shared" si="36"/>
        <v>23499.100000000006</v>
      </c>
      <c r="F42" s="137">
        <f t="shared" si="36"/>
        <v>14316.000000000007</v>
      </c>
      <c r="G42" s="137">
        <f t="shared" si="36"/>
        <v>6534.3000000000102</v>
      </c>
      <c r="H42" s="137">
        <f t="shared" si="36"/>
        <v>0</v>
      </c>
      <c r="I42" s="137">
        <f t="shared" si="36"/>
        <v>-2065.989999999998</v>
      </c>
      <c r="J42" s="137">
        <f t="shared" si="36"/>
        <v>-4856.5499999999956</v>
      </c>
      <c r="K42" s="137">
        <f t="shared" si="36"/>
        <v>-5755.9899999999907</v>
      </c>
      <c r="L42" s="137">
        <f t="shared" si="36"/>
        <v>-4551.0199999999895</v>
      </c>
      <c r="M42" s="137">
        <f t="shared" si="36"/>
        <v>-1028.3499999999913</v>
      </c>
      <c r="N42" s="137">
        <f t="shared" si="36"/>
        <v>5025.3100000000049</v>
      </c>
      <c r="O42" s="119"/>
      <c r="P42" s="116"/>
      <c r="Q42" s="116"/>
    </row>
    <row r="43" spans="1:17" s="67" customFormat="1" x14ac:dyDescent="0.25">
      <c r="C43" s="142"/>
    </row>
    <row r="44" spans="1:17" ht="16.5" thickBot="1" x14ac:dyDescent="0.3">
      <c r="A44" s="96"/>
      <c r="B44" s="96"/>
      <c r="C44" s="164" t="s">
        <v>126</v>
      </c>
      <c r="D44" s="164" t="s">
        <v>127</v>
      </c>
      <c r="E44" s="164" t="s">
        <v>128</v>
      </c>
      <c r="F44" s="164" t="s">
        <v>129</v>
      </c>
      <c r="G44" s="164" t="s">
        <v>130</v>
      </c>
      <c r="H44" s="164" t="s">
        <v>131</v>
      </c>
      <c r="I44" s="164" t="s">
        <v>132</v>
      </c>
      <c r="J44" s="164" t="s">
        <v>133</v>
      </c>
      <c r="K44" s="164" t="s">
        <v>134</v>
      </c>
      <c r="L44" s="164" t="s">
        <v>135</v>
      </c>
      <c r="M44" s="164" t="s">
        <v>136</v>
      </c>
      <c r="N44" s="164" t="s">
        <v>137</v>
      </c>
      <c r="O44" s="97" t="s">
        <v>31</v>
      </c>
      <c r="P44" s="97"/>
      <c r="Q44" s="97"/>
    </row>
    <row r="45" spans="1:17" ht="16.5" thickBot="1" x14ac:dyDescent="0.3">
      <c r="A45" s="96"/>
      <c r="B45" s="98" t="s">
        <v>28</v>
      </c>
      <c r="C45" s="99">
        <f>+N42</f>
        <v>5025.3100000000049</v>
      </c>
      <c r="D45" s="99">
        <f>+C63</f>
        <v>-3373.252999999997</v>
      </c>
      <c r="E45" s="99">
        <f>+D63</f>
        <v>-3609.8159999999989</v>
      </c>
      <c r="F45" s="99">
        <f t="shared" ref="F45" si="37">+E63</f>
        <v>-989.67900000000373</v>
      </c>
      <c r="G45" s="99">
        <f t="shared" ref="G45" si="38">+F63</f>
        <v>4695.0579999999973</v>
      </c>
      <c r="H45" s="99">
        <f t="shared" ref="H45" si="39">+G63</f>
        <v>14014.194999999985</v>
      </c>
      <c r="I45" s="99">
        <f t="shared" ref="I45" si="40">+H63</f>
        <v>27021.631999999976</v>
      </c>
      <c r="J45" s="99">
        <f t="shared" ref="J45" si="41">+I63</f>
        <v>44287.168999999987</v>
      </c>
      <c r="K45" s="99">
        <f t="shared" ref="K45" si="42">+J63</f>
        <v>66226.606</v>
      </c>
      <c r="L45" s="99">
        <f t="shared" ref="L45" si="43">+K63</f>
        <v>93255.742999999988</v>
      </c>
      <c r="M45" s="99">
        <f t="shared" ref="M45" si="44">+L63</f>
        <v>135040.54399999999</v>
      </c>
      <c r="N45" s="99">
        <f t="shared" ref="N45" si="45">+M63</f>
        <v>179209.573</v>
      </c>
      <c r="O45" s="100"/>
      <c r="P45" s="97"/>
      <c r="Q45" s="97"/>
    </row>
    <row r="46" spans="1:17" ht="15.75" x14ac:dyDescent="0.25">
      <c r="A46" s="96"/>
      <c r="B46" s="96"/>
      <c r="C46" s="101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97"/>
      <c r="P46" s="97"/>
      <c r="Q46" s="97"/>
    </row>
    <row r="47" spans="1:17" ht="15.75" x14ac:dyDescent="0.25">
      <c r="A47" s="179" t="s">
        <v>18</v>
      </c>
      <c r="B47" s="103" t="s">
        <v>19</v>
      </c>
      <c r="C47" s="106">
        <f>(+'Base de Dados'!C35*'Base de Dados'!C37+('Base de Dados'!C36*'Base de Dados'!C39))*'Base de Dados'!$P35</f>
        <v>47740</v>
      </c>
      <c r="D47" s="106">
        <f>(+'Base de Dados'!D35*'Base de Dados'!D37+('Base de Dados'!D36*'Base de Dados'!D39))*'Base de Dados'!$P35</f>
        <v>52360</v>
      </c>
      <c r="E47" s="106">
        <f>(+'Base de Dados'!E35*'Base de Dados'!E37+('Base de Dados'!E36*'Base de Dados'!E39))*'Base de Dados'!$P35</f>
        <v>57365</v>
      </c>
      <c r="F47" s="106">
        <f>(+'Base de Dados'!F35*'Base de Dados'!F37+('Base de Dados'!F36*'Base de Dados'!F39))*'Base de Dados'!$P35</f>
        <v>62755</v>
      </c>
      <c r="G47" s="106">
        <f>(+'Base de Dados'!G35*'Base de Dados'!G37+('Base de Dados'!G36*'Base de Dados'!G39))*'Base de Dados'!$P35</f>
        <v>68915</v>
      </c>
      <c r="H47" s="106">
        <f>(+'Base de Dados'!H35*'Base de Dados'!H37+('Base de Dados'!H36*'Base de Dados'!H39))*'Base de Dados'!$P35</f>
        <v>75460</v>
      </c>
      <c r="I47" s="106">
        <f>(+'Base de Dados'!I35*'Base de Dados'!I37+('Base de Dados'!I36*'Base de Dados'!I39))*'Base de Dados'!$P35</f>
        <v>82775</v>
      </c>
      <c r="J47" s="106">
        <f>(+'Base de Dados'!J35*'Base de Dados'!J37+('Base de Dados'!J36*'Base de Dados'!J39))*'Base de Dados'!$P35</f>
        <v>90860</v>
      </c>
      <c r="K47" s="106">
        <f>(+'Base de Dados'!K35*'Base de Dados'!K37+('Base de Dados'!K36*'Base de Dados'!K39))*'Base de Dados'!$P35</f>
        <v>99715</v>
      </c>
      <c r="L47" s="106">
        <f>(+'Base de Dados'!L35*'Base de Dados'!L37+('Base de Dados'!L36*'Base de Dados'!L39))*'Base de Dados'!$P35</f>
        <v>119180.59999999999</v>
      </c>
      <c r="M47" s="106">
        <f>(+'Base de Dados'!M35*'Base de Dados'!M37+('Base de Dados'!M36*'Base de Dados'!M39))*'Base de Dados'!$P35</f>
        <v>130930.79999999999</v>
      </c>
      <c r="N47" s="106">
        <f>(+'Base de Dados'!N35*'Base de Dados'!N37+('Base de Dados'!N36*'Base de Dados'!N39))*'Base de Dados'!$P35</f>
        <v>143939.94999999998</v>
      </c>
      <c r="O47" s="100">
        <f>SUM(C47:N47)</f>
        <v>1031996.3499999999</v>
      </c>
      <c r="P47" s="82">
        <f>+O47+N46</f>
        <v>1031996.3499999999</v>
      </c>
      <c r="Q47" s="97"/>
    </row>
    <row r="48" spans="1:17" ht="15.75" x14ac:dyDescent="0.25">
      <c r="A48" s="179"/>
      <c r="B48" s="104" t="s">
        <v>51</v>
      </c>
      <c r="C48" s="106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0">
        <f t="shared" ref="O48:O62" si="46">SUM(C48:N48)</f>
        <v>0</v>
      </c>
      <c r="P48" s="82"/>
      <c r="Q48" s="97"/>
    </row>
    <row r="49" spans="1:17" ht="15.75" x14ac:dyDescent="0.25">
      <c r="A49" s="179"/>
      <c r="B49" s="103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0">
        <f t="shared" si="46"/>
        <v>0</v>
      </c>
      <c r="P49" s="97"/>
      <c r="Q49" s="97"/>
    </row>
    <row r="50" spans="1:17" ht="15.75" x14ac:dyDescent="0.25">
      <c r="A50" s="179"/>
      <c r="B50" s="104"/>
      <c r="C50" s="106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0">
        <f t="shared" si="46"/>
        <v>0</v>
      </c>
      <c r="P50" s="97"/>
      <c r="Q50" s="97"/>
    </row>
    <row r="51" spans="1:17" ht="15.75" x14ac:dyDescent="0.25">
      <c r="A51" s="179"/>
      <c r="B51" s="103" t="s">
        <v>21</v>
      </c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0">
        <f t="shared" si="46"/>
        <v>0</v>
      </c>
      <c r="P51" s="97"/>
      <c r="Q51" s="97"/>
    </row>
    <row r="52" spans="1:17" ht="16.5" thickBot="1" x14ac:dyDescent="0.3">
      <c r="A52" s="179"/>
      <c r="B52" s="103" t="s">
        <v>22</v>
      </c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0">
        <f t="shared" si="46"/>
        <v>0</v>
      </c>
      <c r="P52" s="97"/>
      <c r="Q52" s="97"/>
    </row>
    <row r="53" spans="1:17" ht="32.25" thickBot="1" x14ac:dyDescent="0.3">
      <c r="A53" s="180"/>
      <c r="B53" s="108" t="s">
        <v>23</v>
      </c>
      <c r="C53" s="109">
        <f t="shared" ref="C53:N53" si="47">SUM(C47:C52)</f>
        <v>47740</v>
      </c>
      <c r="D53" s="109">
        <f t="shared" si="47"/>
        <v>52360</v>
      </c>
      <c r="E53" s="109">
        <f t="shared" si="47"/>
        <v>57365</v>
      </c>
      <c r="F53" s="109">
        <f t="shared" si="47"/>
        <v>62755</v>
      </c>
      <c r="G53" s="109">
        <f t="shared" si="47"/>
        <v>68915</v>
      </c>
      <c r="H53" s="109">
        <f t="shared" si="47"/>
        <v>75460</v>
      </c>
      <c r="I53" s="109">
        <f t="shared" si="47"/>
        <v>82775</v>
      </c>
      <c r="J53" s="109">
        <f t="shared" si="47"/>
        <v>90860</v>
      </c>
      <c r="K53" s="109">
        <f t="shared" si="47"/>
        <v>99715</v>
      </c>
      <c r="L53" s="109">
        <f t="shared" si="47"/>
        <v>119180.59999999999</v>
      </c>
      <c r="M53" s="109">
        <f t="shared" si="47"/>
        <v>130930.79999999999</v>
      </c>
      <c r="N53" s="109">
        <f t="shared" si="47"/>
        <v>143939.94999999998</v>
      </c>
      <c r="O53" s="110">
        <f t="shared" si="46"/>
        <v>1031996.3499999999</v>
      </c>
      <c r="P53" s="97"/>
      <c r="Q53" s="97"/>
    </row>
    <row r="54" spans="1:17" ht="15.75" x14ac:dyDescent="0.25">
      <c r="A54" s="181" t="s">
        <v>24</v>
      </c>
      <c r="B54" s="104" t="s">
        <v>52</v>
      </c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0">
        <f t="shared" si="46"/>
        <v>0</v>
      </c>
      <c r="P54" s="97"/>
      <c r="Q54" s="97"/>
    </row>
    <row r="55" spans="1:17" ht="15.75" x14ac:dyDescent="0.25">
      <c r="A55" s="182"/>
      <c r="B55" s="103" t="s">
        <v>53</v>
      </c>
      <c r="C55" s="105">
        <f>+'Base de Dados'!N27*'Base de Dados'!N30+('Base de Dados'!N28*'Base de Dados'!N32)</f>
        <v>22915.200000000001</v>
      </c>
      <c r="D55" s="105">
        <f>+'Base de Dados'!C35*'Base de Dados'!C38+('Base de Dados'!C36*'Base de Dados'!C39)</f>
        <v>19096</v>
      </c>
      <c r="E55" s="105">
        <f>+'Base de Dados'!D35*'Base de Dados'!D38+('Base de Dados'!D36*'Base de Dados'!D39)</f>
        <v>20944</v>
      </c>
      <c r="F55" s="105">
        <f>+'Base de Dados'!E35*'Base de Dados'!E38+('Base de Dados'!E36*'Base de Dados'!E39)</f>
        <v>22946</v>
      </c>
      <c r="G55" s="105">
        <f>+'Base de Dados'!F35*'Base de Dados'!F38+('Base de Dados'!F36*'Base de Dados'!F39)</f>
        <v>25102</v>
      </c>
      <c r="H55" s="105">
        <f>+'Base de Dados'!G35*'Base de Dados'!G38+('Base de Dados'!G36*'Base de Dados'!G39)</f>
        <v>27566</v>
      </c>
      <c r="I55" s="105">
        <f>+'Base de Dados'!H35*'Base de Dados'!H38+('Base de Dados'!H36*'Base de Dados'!H39)</f>
        <v>30184</v>
      </c>
      <c r="J55" s="105">
        <f>+'Base de Dados'!I35*'Base de Dados'!I38+('Base de Dados'!I36*'Base de Dados'!I39)</f>
        <v>33110</v>
      </c>
      <c r="K55" s="105">
        <f>+'Base de Dados'!J35*'Base de Dados'!J38+('Base de Dados'!J36*'Base de Dados'!J39)</f>
        <v>36344</v>
      </c>
      <c r="L55" s="105">
        <f>+'Base de Dados'!K35*'Base de Dados'!K38+('Base de Dados'!K36*'Base de Dados'!K39)</f>
        <v>39886</v>
      </c>
      <c r="M55" s="105">
        <f>+'Base de Dados'!L35*'Base de Dados'!L38+('Base de Dados'!L36*'Base de Dados'!L39)</f>
        <v>48546.96</v>
      </c>
      <c r="N55" s="105">
        <f>+'Base de Dados'!M35*'Base de Dados'!M38+('Base de Dados'!M36*'Base de Dados'!M39)</f>
        <v>53333.279999999999</v>
      </c>
      <c r="O55" s="100">
        <f t="shared" si="46"/>
        <v>379973.44000000006</v>
      </c>
      <c r="P55" s="91">
        <f>+O55+C76</f>
        <v>438605.86000000004</v>
      </c>
      <c r="Q55" s="97"/>
    </row>
    <row r="56" spans="1:17" ht="15.75" x14ac:dyDescent="0.25">
      <c r="A56" s="182"/>
      <c r="B56" s="103" t="s">
        <v>25</v>
      </c>
      <c r="C56" s="105">
        <f>C53*0.06</f>
        <v>2864.4</v>
      </c>
      <c r="D56" s="105">
        <f t="shared" ref="D56:N56" si="48">D53*0.06</f>
        <v>3141.6</v>
      </c>
      <c r="E56" s="105">
        <f t="shared" si="48"/>
        <v>3441.9</v>
      </c>
      <c r="F56" s="105">
        <f t="shared" si="48"/>
        <v>3765.2999999999997</v>
      </c>
      <c r="G56" s="105">
        <f t="shared" si="48"/>
        <v>4134.8999999999996</v>
      </c>
      <c r="H56" s="105">
        <f t="shared" si="48"/>
        <v>4527.5999999999995</v>
      </c>
      <c r="I56" s="105">
        <f t="shared" si="48"/>
        <v>4966.5</v>
      </c>
      <c r="J56" s="105">
        <f t="shared" si="48"/>
        <v>5451.5999999999995</v>
      </c>
      <c r="K56" s="105">
        <f t="shared" si="48"/>
        <v>5982.9</v>
      </c>
      <c r="L56" s="105">
        <f t="shared" si="48"/>
        <v>7150.8359999999993</v>
      </c>
      <c r="M56" s="105">
        <f t="shared" si="48"/>
        <v>7855.847999999999</v>
      </c>
      <c r="N56" s="105">
        <f t="shared" si="48"/>
        <v>8636.396999999999</v>
      </c>
      <c r="O56" s="100">
        <f t="shared" si="46"/>
        <v>61919.780999999988</v>
      </c>
      <c r="P56" s="97"/>
      <c r="Q56" s="97"/>
    </row>
    <row r="57" spans="1:17" ht="15.75" x14ac:dyDescent="0.25">
      <c r="A57" s="182"/>
      <c r="B57" s="103" t="s">
        <v>96</v>
      </c>
      <c r="C57" s="105">
        <f>C36+C36*0.2</f>
        <v>11520</v>
      </c>
      <c r="D57" s="105">
        <f t="shared" ref="D57:N57" si="49">D36+D36*0.2</f>
        <v>11520</v>
      </c>
      <c r="E57" s="105">
        <f t="shared" si="49"/>
        <v>11520</v>
      </c>
      <c r="F57" s="105">
        <f t="shared" si="49"/>
        <v>11520</v>
      </c>
      <c r="G57" s="105">
        <f t="shared" si="49"/>
        <v>11520</v>
      </c>
      <c r="H57" s="105">
        <f t="shared" si="49"/>
        <v>11520</v>
      </c>
      <c r="I57" s="105">
        <f t="shared" si="49"/>
        <v>11520</v>
      </c>
      <c r="J57" s="105">
        <f t="shared" si="49"/>
        <v>11520</v>
      </c>
      <c r="K57" s="105">
        <f t="shared" si="49"/>
        <v>11520</v>
      </c>
      <c r="L57" s="105">
        <f t="shared" si="49"/>
        <v>11520</v>
      </c>
      <c r="M57" s="105">
        <f t="shared" si="49"/>
        <v>11520</v>
      </c>
      <c r="N57" s="105">
        <f t="shared" si="49"/>
        <v>11520</v>
      </c>
      <c r="O57" s="100">
        <f t="shared" si="46"/>
        <v>138240</v>
      </c>
      <c r="P57" s="97"/>
      <c r="Q57" s="97"/>
    </row>
    <row r="58" spans="1:17" ht="15.75" x14ac:dyDescent="0.25">
      <c r="A58" s="182"/>
      <c r="B58" s="103" t="s">
        <v>57</v>
      </c>
      <c r="C58" s="105">
        <f>'DESPESA FIXA MENSAL'!B51</f>
        <v>2503.9300000000003</v>
      </c>
      <c r="D58" s="105">
        <f>'DESPESA FIXA MENSAL'!C51</f>
        <v>2503.9300000000003</v>
      </c>
      <c r="E58" s="105">
        <f>'DESPESA FIXA MENSAL'!D51</f>
        <v>2503.9300000000003</v>
      </c>
      <c r="F58" s="105">
        <f>'DESPESA FIXA MENSAL'!E51</f>
        <v>2503.9300000000003</v>
      </c>
      <c r="G58" s="105">
        <f>'DESPESA FIXA MENSAL'!F51</f>
        <v>2503.9300000000003</v>
      </c>
      <c r="H58" s="105">
        <f>'DESPESA FIXA MENSAL'!G51</f>
        <v>2503.9300000000003</v>
      </c>
      <c r="I58" s="105">
        <f>'DESPESA FIXA MENSAL'!H51</f>
        <v>2503.9300000000003</v>
      </c>
      <c r="J58" s="105">
        <f>'DESPESA FIXA MENSAL'!I51</f>
        <v>2503.9300000000003</v>
      </c>
      <c r="K58" s="105">
        <f>'DESPESA FIXA MENSAL'!J51</f>
        <v>2503.9300000000003</v>
      </c>
      <c r="L58" s="105">
        <f>'DESPESA FIXA MENSAL'!K51</f>
        <v>2503.9300000000003</v>
      </c>
      <c r="M58" s="105">
        <f>'DESPESA FIXA MENSAL'!L51</f>
        <v>2503.9300000000003</v>
      </c>
      <c r="N58" s="105">
        <f>'DESPESA FIXA MENSAL'!M51</f>
        <v>2503.9300000000003</v>
      </c>
      <c r="O58" s="100">
        <f t="shared" si="46"/>
        <v>30047.160000000003</v>
      </c>
      <c r="P58" s="97"/>
      <c r="Q58" s="97"/>
    </row>
    <row r="59" spans="1:17" ht="15.75" x14ac:dyDescent="0.25">
      <c r="A59" s="182"/>
      <c r="B59" s="103" t="s">
        <v>94</v>
      </c>
      <c r="C59" s="105">
        <f>SUM('DESPESA FIXA MENSAL'!B47:B48)+'DESPESA FIXA MENSAL'!B60</f>
        <v>10310.299999999999</v>
      </c>
      <c r="D59" s="105">
        <f>SUM('DESPESA FIXA MENSAL'!C47:C48)+'DESPESA FIXA MENSAL'!C60</f>
        <v>10310.299999999999</v>
      </c>
      <c r="E59" s="105">
        <f>SUM('DESPESA FIXA MENSAL'!D47:D48)+'DESPESA FIXA MENSAL'!D60</f>
        <v>10310.299999999999</v>
      </c>
      <c r="F59" s="105">
        <f>SUM('DESPESA FIXA MENSAL'!E47:E48)+'DESPESA FIXA MENSAL'!E60</f>
        <v>10310.299999999999</v>
      </c>
      <c r="G59" s="105">
        <f>SUM('DESPESA FIXA MENSAL'!F47:F48)+'DESPESA FIXA MENSAL'!F60</f>
        <v>10310.299999999999</v>
      </c>
      <c r="H59" s="105">
        <f>SUM('DESPESA FIXA MENSAL'!G47:G48)+'DESPESA FIXA MENSAL'!G60</f>
        <v>10310.299999999999</v>
      </c>
      <c r="I59" s="105">
        <f>SUM('DESPESA FIXA MENSAL'!H47:H48)+'DESPESA FIXA MENSAL'!H60</f>
        <v>10310.299999999999</v>
      </c>
      <c r="J59" s="105">
        <f>SUM('DESPESA FIXA MENSAL'!I47:I48)+'DESPESA FIXA MENSAL'!I60</f>
        <v>10310.299999999999</v>
      </c>
      <c r="K59" s="105">
        <f>SUM('DESPESA FIXA MENSAL'!J47:J48)+'DESPESA FIXA MENSAL'!J60</f>
        <v>10310.299999999999</v>
      </c>
      <c r="L59" s="105">
        <f>SUM('DESPESA FIXA MENSAL'!K47:K48)+'DESPESA FIXA MENSAL'!K60</f>
        <v>10310.299999999999</v>
      </c>
      <c r="M59" s="105">
        <f>SUM('DESPESA FIXA MENSAL'!L47:L48)+'DESPESA FIXA MENSAL'!L60</f>
        <v>10310.299999999999</v>
      </c>
      <c r="N59" s="105">
        <f>SUM('DESPESA FIXA MENSAL'!M47:M48)+'DESPESA FIXA MENSAL'!M60</f>
        <v>10310.299999999999</v>
      </c>
      <c r="O59" s="100">
        <f t="shared" si="46"/>
        <v>123723.60000000002</v>
      </c>
      <c r="P59" s="97"/>
      <c r="Q59" s="97"/>
    </row>
    <row r="60" spans="1:17" ht="16.5" thickBot="1" x14ac:dyDescent="0.3">
      <c r="A60" s="182"/>
      <c r="B60" s="103" t="s">
        <v>26</v>
      </c>
      <c r="C60" s="105">
        <f>SUM('DESPESA FIXA MENSAL'!B52:B59)+'DESPESA FIXA MENSAL'!B61</f>
        <v>6024.7330000000002</v>
      </c>
      <c r="D60" s="105">
        <f>SUM('DESPESA FIXA MENSAL'!C52:C59)+'DESPESA FIXA MENSAL'!C61</f>
        <v>6024.7330000000002</v>
      </c>
      <c r="E60" s="105">
        <f>SUM('DESPESA FIXA MENSAL'!D52:D59)+'DESPESA FIXA MENSAL'!D61</f>
        <v>6024.7330000000002</v>
      </c>
      <c r="F60" s="105">
        <f>SUM('DESPESA FIXA MENSAL'!E52:E59)+'DESPESA FIXA MENSAL'!E61</f>
        <v>6024.7330000000002</v>
      </c>
      <c r="G60" s="105">
        <f>SUM('DESPESA FIXA MENSAL'!F52:F59)+'DESPESA FIXA MENSAL'!F61</f>
        <v>6024.7330000000002</v>
      </c>
      <c r="H60" s="105">
        <f>SUM('DESPESA FIXA MENSAL'!G52:G59)+'DESPESA FIXA MENSAL'!G61</f>
        <v>6024.7330000000002</v>
      </c>
      <c r="I60" s="105">
        <f>SUM('DESPESA FIXA MENSAL'!H52:H59)+'DESPESA FIXA MENSAL'!H61</f>
        <v>6024.7330000000002</v>
      </c>
      <c r="J60" s="105">
        <f>SUM('DESPESA FIXA MENSAL'!I52:I59)+'DESPESA FIXA MENSAL'!I61</f>
        <v>6024.7330000000002</v>
      </c>
      <c r="K60" s="105">
        <f>SUM('DESPESA FIXA MENSAL'!J52:J59)+'DESPESA FIXA MENSAL'!J61</f>
        <v>6024.7330000000002</v>
      </c>
      <c r="L60" s="105">
        <f>SUM('DESPESA FIXA MENSAL'!K52:K59)+'DESPESA FIXA MENSAL'!K61</f>
        <v>6024.7330000000002</v>
      </c>
      <c r="M60" s="105">
        <f>SUM('DESPESA FIXA MENSAL'!L52:L59)+'DESPESA FIXA MENSAL'!L61</f>
        <v>6024.7330000000002</v>
      </c>
      <c r="N60" s="105">
        <f>SUM('DESPESA FIXA MENSAL'!M52:M59)+'DESPESA FIXA MENSAL'!M61</f>
        <v>6024.7330000000002</v>
      </c>
      <c r="O60" s="100">
        <f t="shared" si="46"/>
        <v>72296.796000000002</v>
      </c>
      <c r="P60" s="82">
        <f>SUM(O57:O60)</f>
        <v>364307.55599999998</v>
      </c>
      <c r="Q60" s="97"/>
    </row>
    <row r="61" spans="1:17" ht="32.25" thickBot="1" x14ac:dyDescent="0.3">
      <c r="A61" s="183"/>
      <c r="B61" s="111" t="s">
        <v>27</v>
      </c>
      <c r="C61" s="112">
        <f t="shared" ref="C61:H61" si="50">SUM(C54:C60)</f>
        <v>56138.563000000002</v>
      </c>
      <c r="D61" s="112">
        <f t="shared" si="50"/>
        <v>52596.563000000002</v>
      </c>
      <c r="E61" s="112">
        <f t="shared" si="50"/>
        <v>54744.863000000005</v>
      </c>
      <c r="F61" s="112">
        <f t="shared" si="50"/>
        <v>57070.262999999999</v>
      </c>
      <c r="G61" s="112">
        <f t="shared" si="50"/>
        <v>59595.863000000005</v>
      </c>
      <c r="H61" s="112">
        <f t="shared" si="50"/>
        <v>62452.563000000002</v>
      </c>
      <c r="I61" s="112">
        <f t="shared" ref="I61:N61" si="51">SUM(I54:I60)</f>
        <v>65509.462999999996</v>
      </c>
      <c r="J61" s="112">
        <f t="shared" si="51"/>
        <v>68920.562999999995</v>
      </c>
      <c r="K61" s="112">
        <f t="shared" si="51"/>
        <v>72685.863000000012</v>
      </c>
      <c r="L61" s="112">
        <f t="shared" si="51"/>
        <v>77395.798999999999</v>
      </c>
      <c r="M61" s="112">
        <f t="shared" si="51"/>
        <v>86761.770999999979</v>
      </c>
      <c r="N61" s="112">
        <f t="shared" si="51"/>
        <v>92328.639999999985</v>
      </c>
      <c r="O61" s="110">
        <f t="shared" si="46"/>
        <v>806200.777</v>
      </c>
      <c r="P61" s="97"/>
      <c r="Q61" s="97"/>
    </row>
    <row r="62" spans="1:17" ht="16.5" thickBot="1" x14ac:dyDescent="0.3">
      <c r="A62" s="184"/>
      <c r="B62" s="103" t="s">
        <v>32</v>
      </c>
      <c r="C62" s="105">
        <f t="shared" ref="C62" si="52">C53-C61</f>
        <v>-8398.5630000000019</v>
      </c>
      <c r="D62" s="105">
        <f t="shared" ref="D62" si="53">D53-D61</f>
        <v>-236.56300000000192</v>
      </c>
      <c r="E62" s="105">
        <f t="shared" ref="E62" si="54">E53-E61</f>
        <v>2620.1369999999952</v>
      </c>
      <c r="F62" s="105">
        <f t="shared" ref="F62" si="55">F53-F61</f>
        <v>5684.737000000001</v>
      </c>
      <c r="G62" s="105">
        <f t="shared" ref="G62" si="56">G53-G61</f>
        <v>9319.1369999999952</v>
      </c>
      <c r="H62" s="105">
        <f t="shared" ref="H62" si="57">H53-H61</f>
        <v>13007.436999999998</v>
      </c>
      <c r="I62" s="105">
        <f t="shared" ref="I62" si="58">I53-I61</f>
        <v>17265.537000000004</v>
      </c>
      <c r="J62" s="105">
        <f t="shared" ref="J62" si="59">J53-J61</f>
        <v>21939.437000000005</v>
      </c>
      <c r="K62" s="105">
        <f t="shared" ref="K62" si="60">K53-K61</f>
        <v>27029.136999999988</v>
      </c>
      <c r="L62" s="105">
        <f t="shared" ref="L62" si="61">L53-L61</f>
        <v>41784.800999999992</v>
      </c>
      <c r="M62" s="105">
        <f t="shared" ref="M62" si="62">M53-M61</f>
        <v>44169.02900000001</v>
      </c>
      <c r="N62" s="105">
        <f t="shared" ref="N62" si="63">N53-N61</f>
        <v>51611.31</v>
      </c>
      <c r="O62" s="100">
        <f t="shared" si="46"/>
        <v>225795.57299999997</v>
      </c>
      <c r="P62" s="128">
        <f>+O62+O41</f>
        <v>166436.07299999997</v>
      </c>
      <c r="Q62" s="97"/>
    </row>
    <row r="63" spans="1:17" ht="32.25" thickBot="1" x14ac:dyDescent="0.3">
      <c r="A63" s="185"/>
      <c r="B63" s="113" t="s">
        <v>29</v>
      </c>
      <c r="C63" s="114">
        <f>+C53+C45-C61</f>
        <v>-3373.252999999997</v>
      </c>
      <c r="D63" s="114">
        <f t="shared" ref="D63:N63" si="64">+D53+D45-D61</f>
        <v>-3609.8159999999989</v>
      </c>
      <c r="E63" s="114">
        <f t="shared" si="64"/>
        <v>-989.67900000000373</v>
      </c>
      <c r="F63" s="114">
        <f t="shared" si="64"/>
        <v>4695.0579999999973</v>
      </c>
      <c r="G63" s="114">
        <f t="shared" si="64"/>
        <v>14014.194999999985</v>
      </c>
      <c r="H63" s="114">
        <f t="shared" si="64"/>
        <v>27021.631999999976</v>
      </c>
      <c r="I63" s="114">
        <f t="shared" si="64"/>
        <v>44287.168999999987</v>
      </c>
      <c r="J63" s="114">
        <f t="shared" si="64"/>
        <v>66226.606</v>
      </c>
      <c r="K63" s="114">
        <f t="shared" si="64"/>
        <v>93255.742999999988</v>
      </c>
      <c r="L63" s="114">
        <f t="shared" si="64"/>
        <v>135040.54399999999</v>
      </c>
      <c r="M63" s="114">
        <f t="shared" si="64"/>
        <v>179209.573</v>
      </c>
      <c r="N63" s="114">
        <f t="shared" si="64"/>
        <v>230820.883</v>
      </c>
      <c r="O63" s="100"/>
      <c r="P63" s="97"/>
      <c r="Q63" s="97"/>
    </row>
    <row r="65" spans="1:17" ht="16.5" thickBot="1" x14ac:dyDescent="0.3">
      <c r="A65" s="115"/>
      <c r="B65" s="115"/>
      <c r="C65" s="163" t="s">
        <v>138</v>
      </c>
      <c r="D65" s="163" t="s">
        <v>139</v>
      </c>
      <c r="E65" s="163" t="s">
        <v>140</v>
      </c>
      <c r="F65" s="163" t="s">
        <v>141</v>
      </c>
      <c r="G65" s="163" t="s">
        <v>142</v>
      </c>
      <c r="H65" s="163" t="s">
        <v>143</v>
      </c>
      <c r="I65" s="163" t="s">
        <v>144</v>
      </c>
      <c r="J65" s="163" t="s">
        <v>145</v>
      </c>
      <c r="K65" s="163" t="s">
        <v>146</v>
      </c>
      <c r="L65" s="163" t="s">
        <v>147</v>
      </c>
      <c r="M65" s="163" t="s">
        <v>148</v>
      </c>
      <c r="N65" s="163" t="s">
        <v>149</v>
      </c>
      <c r="O65" s="116" t="s">
        <v>31</v>
      </c>
      <c r="P65" s="138"/>
      <c r="Q65" s="116"/>
    </row>
    <row r="66" spans="1:17" ht="16.5" thickBot="1" x14ac:dyDescent="0.3">
      <c r="A66" s="115"/>
      <c r="B66" s="117" t="s">
        <v>28</v>
      </c>
      <c r="C66" s="118">
        <f>+N63</f>
        <v>230820.883</v>
      </c>
      <c r="D66" s="118">
        <f>+C84</f>
        <v>261037.95342500001</v>
      </c>
      <c r="E66" s="118">
        <f>+D84</f>
        <v>303878.40385</v>
      </c>
      <c r="F66" s="118">
        <f t="shared" ref="F66" si="65">+E84</f>
        <v>349141.27427499997</v>
      </c>
      <c r="G66" s="118">
        <f t="shared" ref="G66" si="66">+F84</f>
        <v>390507.94469999999</v>
      </c>
      <c r="H66" s="118">
        <f t="shared" ref="H66" si="67">+G84</f>
        <v>431874.61512500001</v>
      </c>
      <c r="I66" s="118">
        <f t="shared" ref="I66" si="68">+H84</f>
        <v>485192.80555000005</v>
      </c>
      <c r="J66" s="118">
        <f t="shared" ref="J66" si="69">+I84</f>
        <v>528346.99597500009</v>
      </c>
      <c r="K66" s="118">
        <f t="shared" ref="K66" si="70">+J84</f>
        <v>571501.18640000001</v>
      </c>
      <c r="L66" s="118">
        <f t="shared" ref="L66" si="71">+K84</f>
        <v>614655.37682499993</v>
      </c>
      <c r="M66" s="118">
        <f t="shared" ref="M66" si="72">+L84</f>
        <v>657809.56724999985</v>
      </c>
      <c r="N66" s="118">
        <f t="shared" ref="N66" si="73">+M84</f>
        <v>700963.75767499977</v>
      </c>
      <c r="O66" s="119"/>
      <c r="P66" s="138"/>
      <c r="Q66" s="116"/>
    </row>
    <row r="67" spans="1:17" ht="15.75" x14ac:dyDescent="0.25">
      <c r="A67" s="115"/>
      <c r="B67" s="115"/>
      <c r="C67" s="120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16"/>
      <c r="P67" s="138"/>
      <c r="Q67" s="116"/>
    </row>
    <row r="68" spans="1:17" ht="15.75" x14ac:dyDescent="0.25">
      <c r="A68" s="186" t="s">
        <v>18</v>
      </c>
      <c r="B68" s="122" t="s">
        <v>19</v>
      </c>
      <c r="C68" s="127">
        <f>(+'Base de Dados'!C43*'Base de Dados'!C45+('Base de Dados'!C44*'Base de Dados'!C47))*'Base de Dados'!$P43</f>
        <v>145260.5</v>
      </c>
      <c r="D68" s="127">
        <f>(+'Base de Dados'!D43*'Base de Dados'!D45+('Base de Dados'!D44*'Base de Dados'!D47))*'Base de Dados'!$P43</f>
        <v>159659.5</v>
      </c>
      <c r="E68" s="127">
        <f>(+'Base de Dados'!E43*'Base de Dados'!E45+('Base de Dados'!E44*'Base de Dados'!E47))*'Base de Dados'!$P43</f>
        <v>169400</v>
      </c>
      <c r="F68" s="127">
        <f>(+'Base de Dados'!F43*'Base de Dados'!F45+('Base de Dados'!F44*'Base de Dados'!F47))*'Base de Dados'!$P43</f>
        <v>169400</v>
      </c>
      <c r="G68" s="127">
        <f>(+'Base de Dados'!G43*'Base de Dados'!G45+('Base de Dados'!G44*'Base de Dados'!G47))*'Base de Dados'!$P43</f>
        <v>169400</v>
      </c>
      <c r="H68" s="127">
        <f>(+'Base de Dados'!H43*'Base de Dados'!H45+('Base de Dados'!H44*'Base de Dados'!H47))*'Base de Dados'!$P43</f>
        <v>183628</v>
      </c>
      <c r="I68" s="127">
        <f>(+'Base de Dados'!I43*'Base de Dados'!I45+('Base de Dados'!I44*'Base de Dados'!I47))*'Base de Dados'!$P43</f>
        <v>183628</v>
      </c>
      <c r="J68" s="127">
        <f>(+'Base de Dados'!J43*'Base de Dados'!J45+('Base de Dados'!J44*'Base de Dados'!J47))*'Base de Dados'!$P43</f>
        <v>183628</v>
      </c>
      <c r="K68" s="127">
        <f>(+'Base de Dados'!K43*'Base de Dados'!K45+('Base de Dados'!K44*'Base de Dados'!K47))*'Base de Dados'!$P43</f>
        <v>183628</v>
      </c>
      <c r="L68" s="127">
        <f>(+'Base de Dados'!L43*'Base de Dados'!L45+('Base de Dados'!L44*'Base de Dados'!L47))*'Base de Dados'!$P43</f>
        <v>183628</v>
      </c>
      <c r="M68" s="127">
        <f>(+'Base de Dados'!M43*'Base de Dados'!M45+('Base de Dados'!M44*'Base de Dados'!M47))*'Base de Dados'!$P43</f>
        <v>183628</v>
      </c>
      <c r="N68" s="127">
        <f>(+'Base de Dados'!N43*'Base de Dados'!N45+('Base de Dados'!N44*'Base de Dados'!N47))*'Base de Dados'!$P43</f>
        <v>183628</v>
      </c>
      <c r="O68" s="119">
        <f>SUM(C68:N68)</f>
        <v>2098516</v>
      </c>
      <c r="P68" s="82">
        <f>+O68+N67</f>
        <v>2098516</v>
      </c>
      <c r="Q68" s="116"/>
    </row>
    <row r="69" spans="1:17" ht="15.75" x14ac:dyDescent="0.25">
      <c r="A69" s="186"/>
      <c r="B69" s="126" t="s">
        <v>51</v>
      </c>
      <c r="C69" s="127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19">
        <f t="shared" ref="O69:O83" si="74">SUM(C69:N69)</f>
        <v>0</v>
      </c>
      <c r="P69" s="138"/>
      <c r="Q69" s="116"/>
    </row>
    <row r="70" spans="1:17" ht="15.75" x14ac:dyDescent="0.25">
      <c r="A70" s="186"/>
      <c r="B70" s="122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19">
        <f t="shared" si="74"/>
        <v>0</v>
      </c>
      <c r="P70" s="138"/>
      <c r="Q70" s="116"/>
    </row>
    <row r="71" spans="1:17" ht="15.75" x14ac:dyDescent="0.25">
      <c r="A71" s="186"/>
      <c r="B71" s="126"/>
      <c r="C71" s="127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19">
        <f t="shared" si="74"/>
        <v>0</v>
      </c>
      <c r="P71" s="138"/>
      <c r="Q71" s="116"/>
    </row>
    <row r="72" spans="1:17" ht="15.75" x14ac:dyDescent="0.25">
      <c r="A72" s="186"/>
      <c r="B72" s="122" t="s">
        <v>21</v>
      </c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19">
        <f t="shared" si="74"/>
        <v>0</v>
      </c>
      <c r="P72" s="138"/>
      <c r="Q72" s="116"/>
    </row>
    <row r="73" spans="1:17" ht="16.5" thickBot="1" x14ac:dyDescent="0.3">
      <c r="A73" s="186"/>
      <c r="B73" s="122" t="s">
        <v>22</v>
      </c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19">
        <f t="shared" si="74"/>
        <v>0</v>
      </c>
      <c r="P73" s="138"/>
      <c r="Q73" s="116"/>
    </row>
    <row r="74" spans="1:17" ht="32.25" thickBot="1" x14ac:dyDescent="0.3">
      <c r="A74" s="187"/>
      <c r="B74" s="130" t="s">
        <v>23</v>
      </c>
      <c r="C74" s="131">
        <f t="shared" ref="C74:N74" si="75">SUM(C68:C73)</f>
        <v>145260.5</v>
      </c>
      <c r="D74" s="131">
        <f t="shared" si="75"/>
        <v>159659.5</v>
      </c>
      <c r="E74" s="131">
        <f t="shared" si="75"/>
        <v>169400</v>
      </c>
      <c r="F74" s="131">
        <f t="shared" si="75"/>
        <v>169400</v>
      </c>
      <c r="G74" s="131">
        <f t="shared" si="75"/>
        <v>169400</v>
      </c>
      <c r="H74" s="131">
        <f t="shared" si="75"/>
        <v>183628</v>
      </c>
      <c r="I74" s="131">
        <f t="shared" si="75"/>
        <v>183628</v>
      </c>
      <c r="J74" s="131">
        <f t="shared" si="75"/>
        <v>183628</v>
      </c>
      <c r="K74" s="131">
        <f t="shared" si="75"/>
        <v>183628</v>
      </c>
      <c r="L74" s="131">
        <f t="shared" si="75"/>
        <v>183628</v>
      </c>
      <c r="M74" s="131">
        <f t="shared" si="75"/>
        <v>183628</v>
      </c>
      <c r="N74" s="131">
        <f t="shared" si="75"/>
        <v>183628</v>
      </c>
      <c r="O74" s="132">
        <f t="shared" si="74"/>
        <v>2098516</v>
      </c>
      <c r="P74" s="138"/>
      <c r="Q74" s="116"/>
    </row>
    <row r="75" spans="1:17" ht="15.75" x14ac:dyDescent="0.25">
      <c r="A75" s="174" t="s">
        <v>24</v>
      </c>
      <c r="B75" s="126" t="s">
        <v>52</v>
      </c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19">
        <f t="shared" si="74"/>
        <v>0</v>
      </c>
      <c r="P75" s="138"/>
      <c r="Q75" s="116"/>
    </row>
    <row r="76" spans="1:17" ht="15" customHeight="1" x14ac:dyDescent="0.25">
      <c r="A76" s="175"/>
      <c r="B76" s="122" t="s">
        <v>53</v>
      </c>
      <c r="C76" s="124">
        <f>+'Base de Dados'!N35*'Base de Dados'!N38+('Base de Dados'!N36*'Base de Dados'!N39)</f>
        <v>58632.42</v>
      </c>
      <c r="D76" s="124">
        <f>+'Base de Dados'!C43*'Base de Dados'!C46+('Base de Dados'!C44*'Base de Dados'!C47)</f>
        <v>58104.200000000004</v>
      </c>
      <c r="E76" s="124">
        <f>+'Base de Dados'!D43*'Base de Dados'!D46+('Base de Dados'!D44*'Base de Dados'!D47)</f>
        <v>63863.8</v>
      </c>
      <c r="F76" s="124">
        <f>+'Base de Dados'!E43*'Base de Dados'!E46+('Base de Dados'!E44*'Base de Dados'!E47)</f>
        <v>67760</v>
      </c>
      <c r="G76" s="124">
        <f>+'Base de Dados'!F43*'Base de Dados'!F46+('Base de Dados'!F44*'Base de Dados'!F47)</f>
        <v>67760</v>
      </c>
      <c r="H76" s="124">
        <f>+'Base de Dados'!G43*'Base de Dados'!G46+('Base de Dados'!G44*'Base de Dados'!G47)</f>
        <v>67760</v>
      </c>
      <c r="I76" s="124">
        <f>+'Base de Dados'!H43*'Base de Dados'!H46+('Base de Dados'!H44*'Base de Dados'!H47)</f>
        <v>77924</v>
      </c>
      <c r="J76" s="124">
        <f>+'Base de Dados'!I43*'Base de Dados'!I46+('Base de Dados'!I44*'Base de Dados'!I47)</f>
        <v>77924</v>
      </c>
      <c r="K76" s="124">
        <f>+'Base de Dados'!J43*'Base de Dados'!J46+('Base de Dados'!J44*'Base de Dados'!J47)</f>
        <v>77924</v>
      </c>
      <c r="L76" s="124">
        <f>+'Base de Dados'!K43*'Base de Dados'!K46+('Base de Dados'!K44*'Base de Dados'!K47)</f>
        <v>77924</v>
      </c>
      <c r="M76" s="124">
        <f>+'Base de Dados'!L43*'Base de Dados'!L46+('Base de Dados'!L44*'Base de Dados'!L47)</f>
        <v>77924</v>
      </c>
      <c r="N76" s="124">
        <f>+'Base de Dados'!M43*'Base de Dados'!M46+('Base de Dados'!M44*'Base de Dados'!M47)</f>
        <v>77924</v>
      </c>
      <c r="O76" s="119">
        <f t="shared" si="74"/>
        <v>851424.41999999993</v>
      </c>
      <c r="P76" s="91">
        <f>+O76+C97</f>
        <v>929348.41999999993</v>
      </c>
      <c r="Q76" s="116"/>
    </row>
    <row r="77" spans="1:17" ht="15.75" x14ac:dyDescent="0.25">
      <c r="A77" s="175"/>
      <c r="B77" s="122" t="s">
        <v>25</v>
      </c>
      <c r="C77" s="124">
        <f>C74*0.16</f>
        <v>23241.68</v>
      </c>
      <c r="D77" s="124">
        <f t="shared" ref="D77:N77" si="76">D74*0.16</f>
        <v>25545.52</v>
      </c>
      <c r="E77" s="124">
        <f t="shared" si="76"/>
        <v>27104</v>
      </c>
      <c r="F77" s="124">
        <f t="shared" si="76"/>
        <v>27104</v>
      </c>
      <c r="G77" s="124">
        <f t="shared" si="76"/>
        <v>27104</v>
      </c>
      <c r="H77" s="124">
        <f t="shared" si="76"/>
        <v>29380.48</v>
      </c>
      <c r="I77" s="124">
        <f t="shared" si="76"/>
        <v>29380.48</v>
      </c>
      <c r="J77" s="124">
        <f t="shared" si="76"/>
        <v>29380.48</v>
      </c>
      <c r="K77" s="124">
        <f t="shared" si="76"/>
        <v>29380.48</v>
      </c>
      <c r="L77" s="124">
        <f t="shared" si="76"/>
        <v>29380.48</v>
      </c>
      <c r="M77" s="124">
        <f t="shared" si="76"/>
        <v>29380.48</v>
      </c>
      <c r="N77" s="124">
        <f t="shared" si="76"/>
        <v>29380.48</v>
      </c>
      <c r="O77" s="119">
        <f t="shared" si="74"/>
        <v>335762.56</v>
      </c>
      <c r="P77" s="138"/>
      <c r="Q77" s="116"/>
    </row>
    <row r="78" spans="1:17" ht="15.75" x14ac:dyDescent="0.25">
      <c r="A78" s="175"/>
      <c r="B78" s="122" t="s">
        <v>96</v>
      </c>
      <c r="C78" s="124">
        <f>C57+C57*0.2</f>
        <v>13824</v>
      </c>
      <c r="D78" s="124">
        <f t="shared" ref="D78:N78" si="77">D57+D57*0.2</f>
        <v>13824</v>
      </c>
      <c r="E78" s="124">
        <f t="shared" si="77"/>
        <v>13824</v>
      </c>
      <c r="F78" s="124">
        <f t="shared" si="77"/>
        <v>13824</v>
      </c>
      <c r="G78" s="124">
        <f t="shared" si="77"/>
        <v>13824</v>
      </c>
      <c r="H78" s="124">
        <f t="shared" si="77"/>
        <v>13824</v>
      </c>
      <c r="I78" s="124">
        <f t="shared" si="77"/>
        <v>13824</v>
      </c>
      <c r="J78" s="124">
        <f t="shared" si="77"/>
        <v>13824</v>
      </c>
      <c r="K78" s="124">
        <f t="shared" si="77"/>
        <v>13824</v>
      </c>
      <c r="L78" s="124">
        <f t="shared" si="77"/>
        <v>13824</v>
      </c>
      <c r="M78" s="124">
        <f t="shared" si="77"/>
        <v>13824</v>
      </c>
      <c r="N78" s="124">
        <f t="shared" si="77"/>
        <v>13824</v>
      </c>
      <c r="O78" s="119">
        <f t="shared" si="74"/>
        <v>165888</v>
      </c>
      <c r="P78" s="138"/>
      <c r="Q78" s="116"/>
    </row>
    <row r="79" spans="1:17" ht="15.75" x14ac:dyDescent="0.25">
      <c r="A79" s="175"/>
      <c r="B79" s="122" t="s">
        <v>57</v>
      </c>
      <c r="C79" s="124">
        <f>'DESPESA FIXA MENSAL'!B73</f>
        <v>2566.5282500000003</v>
      </c>
      <c r="D79" s="124">
        <f>'DESPESA FIXA MENSAL'!C73</f>
        <v>2566.5282500000003</v>
      </c>
      <c r="E79" s="124">
        <f>'DESPESA FIXA MENSAL'!D73</f>
        <v>2566.5282500000003</v>
      </c>
      <c r="F79" s="124">
        <f>'DESPESA FIXA MENSAL'!E73</f>
        <v>2566.5282500000003</v>
      </c>
      <c r="G79" s="124">
        <f>'DESPESA FIXA MENSAL'!F73</f>
        <v>2566.5282500000003</v>
      </c>
      <c r="H79" s="124">
        <f>'DESPESA FIXA MENSAL'!G73</f>
        <v>2566.5282500000003</v>
      </c>
      <c r="I79" s="124">
        <f>'DESPESA FIXA MENSAL'!H73</f>
        <v>2566.5282500000003</v>
      </c>
      <c r="J79" s="124">
        <f>'DESPESA FIXA MENSAL'!I73</f>
        <v>2566.5282500000003</v>
      </c>
      <c r="K79" s="124">
        <f>'DESPESA FIXA MENSAL'!J73</f>
        <v>2566.5282500000003</v>
      </c>
      <c r="L79" s="124">
        <f>'DESPESA FIXA MENSAL'!K73</f>
        <v>2566.5282500000003</v>
      </c>
      <c r="M79" s="124">
        <f>'DESPESA FIXA MENSAL'!L73</f>
        <v>2566.5282500000003</v>
      </c>
      <c r="N79" s="124">
        <f>'DESPESA FIXA MENSAL'!M73</f>
        <v>2566.5282500000003</v>
      </c>
      <c r="O79" s="119">
        <f t="shared" si="74"/>
        <v>30798.338999999996</v>
      </c>
      <c r="P79" s="138"/>
      <c r="Q79" s="116"/>
    </row>
    <row r="80" spans="1:17" ht="15.75" x14ac:dyDescent="0.25">
      <c r="A80" s="175"/>
      <c r="B80" s="122" t="s">
        <v>93</v>
      </c>
      <c r="C80" s="124">
        <f>SUM('DESPESA FIXA MENSAL'!B69:B70)+'DESPESA FIXA MENSAL'!B82</f>
        <v>10568.057499999999</v>
      </c>
      <c r="D80" s="124">
        <f>SUM('DESPESA FIXA MENSAL'!C69:C70)+'DESPESA FIXA MENSAL'!C82</f>
        <v>10568.057499999999</v>
      </c>
      <c r="E80" s="124">
        <f>SUM('DESPESA FIXA MENSAL'!D69:D70)+'DESPESA FIXA MENSAL'!D82</f>
        <v>10568.057499999999</v>
      </c>
      <c r="F80" s="124">
        <f>SUM('DESPESA FIXA MENSAL'!E69:E70)+'DESPESA FIXA MENSAL'!E82</f>
        <v>10568.057499999999</v>
      </c>
      <c r="G80" s="124">
        <f>SUM('DESPESA FIXA MENSAL'!F69:F70)+'DESPESA FIXA MENSAL'!F82</f>
        <v>10568.057499999999</v>
      </c>
      <c r="H80" s="124">
        <f>SUM('DESPESA FIXA MENSAL'!G69:G70)+'DESPESA FIXA MENSAL'!G82</f>
        <v>10568.057499999999</v>
      </c>
      <c r="I80" s="124">
        <f>SUM('DESPESA FIXA MENSAL'!H69:H70)+'DESPESA FIXA MENSAL'!H82</f>
        <v>10568.057499999999</v>
      </c>
      <c r="J80" s="124">
        <f>SUM('DESPESA FIXA MENSAL'!I69:I70)+'DESPESA FIXA MENSAL'!I82</f>
        <v>10568.057499999999</v>
      </c>
      <c r="K80" s="124">
        <f>SUM('DESPESA FIXA MENSAL'!J69:J70)+'DESPESA FIXA MENSAL'!J82</f>
        <v>10568.057499999999</v>
      </c>
      <c r="L80" s="124">
        <f>SUM('DESPESA FIXA MENSAL'!K69:K70)+'DESPESA FIXA MENSAL'!K82</f>
        <v>10568.057499999999</v>
      </c>
      <c r="M80" s="124">
        <f>SUM('DESPESA FIXA MENSAL'!L69:L70)+'DESPESA FIXA MENSAL'!L82</f>
        <v>10568.057499999999</v>
      </c>
      <c r="N80" s="124">
        <f>SUM('DESPESA FIXA MENSAL'!M69:M70)+'DESPESA FIXA MENSAL'!M82</f>
        <v>10568.057499999999</v>
      </c>
      <c r="O80" s="119">
        <f t="shared" si="74"/>
        <v>126816.68999999996</v>
      </c>
      <c r="P80" s="138"/>
      <c r="Q80" s="116"/>
    </row>
    <row r="81" spans="1:17" ht="16.5" thickBot="1" x14ac:dyDescent="0.3">
      <c r="A81" s="175"/>
      <c r="B81" s="122" t="s">
        <v>26</v>
      </c>
      <c r="C81" s="124">
        <f>SUM('DESPESA FIXA MENSAL'!B74:B81)+'DESPESA FIXA MENSAL'!B83</f>
        <v>6210.7438250000005</v>
      </c>
      <c r="D81" s="124">
        <f>SUM('DESPESA FIXA MENSAL'!C74:C81)+'DESPESA FIXA MENSAL'!C83</f>
        <v>6210.7438250000005</v>
      </c>
      <c r="E81" s="124">
        <f>SUM('DESPESA FIXA MENSAL'!D74:D81)+'DESPESA FIXA MENSAL'!D83</f>
        <v>6210.7438250000005</v>
      </c>
      <c r="F81" s="124">
        <f>SUM('DESPESA FIXA MENSAL'!E74:E81)+'DESPESA FIXA MENSAL'!E83</f>
        <v>6210.7438250000005</v>
      </c>
      <c r="G81" s="124">
        <f>SUM('DESPESA FIXA MENSAL'!F74:F81)+'DESPESA FIXA MENSAL'!F83</f>
        <v>6210.7438250000005</v>
      </c>
      <c r="H81" s="124">
        <f>SUM('DESPESA FIXA MENSAL'!G74:G81)+'DESPESA FIXA MENSAL'!G83</f>
        <v>6210.7438250000005</v>
      </c>
      <c r="I81" s="124">
        <f>SUM('DESPESA FIXA MENSAL'!H74:H81)+'DESPESA FIXA MENSAL'!H83</f>
        <v>6210.7438250000005</v>
      </c>
      <c r="J81" s="124">
        <f>SUM('DESPESA FIXA MENSAL'!I74:I81)+'DESPESA FIXA MENSAL'!I83</f>
        <v>6210.7438250000005</v>
      </c>
      <c r="K81" s="124">
        <f>SUM('DESPESA FIXA MENSAL'!J74:J81)+'DESPESA FIXA MENSAL'!J83</f>
        <v>6210.7438250000005</v>
      </c>
      <c r="L81" s="124">
        <f>SUM('DESPESA FIXA MENSAL'!K74:K81)+'DESPESA FIXA MENSAL'!K83</f>
        <v>6210.7438250000005</v>
      </c>
      <c r="M81" s="124">
        <f>SUM('DESPESA FIXA MENSAL'!L74:L81)+'DESPESA FIXA MENSAL'!L83</f>
        <v>6210.7438250000005</v>
      </c>
      <c r="N81" s="124">
        <f>SUM('DESPESA FIXA MENSAL'!M74:M81)+'DESPESA FIXA MENSAL'!M83</f>
        <v>6210.7438250000005</v>
      </c>
      <c r="O81" s="119">
        <f t="shared" si="74"/>
        <v>74528.925899999987</v>
      </c>
      <c r="P81" s="82">
        <f>SUM(O78:O81)</f>
        <v>398031.95489999995</v>
      </c>
      <c r="Q81" s="116"/>
    </row>
    <row r="82" spans="1:17" ht="32.25" thickBot="1" x14ac:dyDescent="0.3">
      <c r="A82" s="176"/>
      <c r="B82" s="134" t="s">
        <v>27</v>
      </c>
      <c r="C82" s="135">
        <f t="shared" ref="C82:H82" si="78">SUM(C75:C81)</f>
        <v>115043.429575</v>
      </c>
      <c r="D82" s="135">
        <f t="shared" si="78"/>
        <v>116819.049575</v>
      </c>
      <c r="E82" s="135">
        <f t="shared" si="78"/>
        <v>124137.129575</v>
      </c>
      <c r="F82" s="135">
        <f t="shared" si="78"/>
        <v>128033.329575</v>
      </c>
      <c r="G82" s="135">
        <f t="shared" si="78"/>
        <v>128033.329575</v>
      </c>
      <c r="H82" s="135">
        <f t="shared" si="78"/>
        <v>130309.80957499999</v>
      </c>
      <c r="I82" s="135">
        <f t="shared" ref="I82:N82" si="79">SUM(I75:I81)</f>
        <v>140473.80957500002</v>
      </c>
      <c r="J82" s="135">
        <f t="shared" si="79"/>
        <v>140473.80957500002</v>
      </c>
      <c r="K82" s="135">
        <f t="shared" si="79"/>
        <v>140473.80957500002</v>
      </c>
      <c r="L82" s="135">
        <f t="shared" si="79"/>
        <v>140473.80957500002</v>
      </c>
      <c r="M82" s="135">
        <f t="shared" si="79"/>
        <v>140473.80957500002</v>
      </c>
      <c r="N82" s="135">
        <f t="shared" si="79"/>
        <v>140473.80957500002</v>
      </c>
      <c r="O82" s="132">
        <f t="shared" si="74"/>
        <v>1585218.9349000005</v>
      </c>
      <c r="P82" s="138"/>
      <c r="Q82" s="116"/>
    </row>
    <row r="83" spans="1:17" ht="16.5" thickBot="1" x14ac:dyDescent="0.3">
      <c r="A83" s="177"/>
      <c r="B83" s="122" t="s">
        <v>32</v>
      </c>
      <c r="C83" s="124">
        <f t="shared" ref="C83" si="80">C74-C82</f>
        <v>30217.070424999998</v>
      </c>
      <c r="D83" s="124">
        <f t="shared" ref="D83" si="81">D74-D82</f>
        <v>42840.450425000003</v>
      </c>
      <c r="E83" s="124">
        <f t="shared" ref="E83" si="82">E74-E82</f>
        <v>45262.870425000001</v>
      </c>
      <c r="F83" s="124">
        <f t="shared" ref="F83" si="83">F74-F82</f>
        <v>41366.670425000004</v>
      </c>
      <c r="G83" s="124">
        <f t="shared" ref="G83" si="84">G74-G82</f>
        <v>41366.670425000004</v>
      </c>
      <c r="H83" s="124">
        <f t="shared" ref="H83" si="85">H74-H82</f>
        <v>53318.190425000008</v>
      </c>
      <c r="I83" s="124">
        <f t="shared" ref="I83" si="86">I74-I82</f>
        <v>43154.190424999979</v>
      </c>
      <c r="J83" s="124">
        <f t="shared" ref="J83" si="87">J74-J82</f>
        <v>43154.190424999979</v>
      </c>
      <c r="K83" s="124">
        <f t="shared" ref="K83" si="88">K74-K82</f>
        <v>43154.190424999979</v>
      </c>
      <c r="L83" s="124">
        <f t="shared" ref="L83" si="89">L74-L82</f>
        <v>43154.190424999979</v>
      </c>
      <c r="M83" s="124">
        <f t="shared" ref="M83" si="90">M74-M82</f>
        <v>43154.190424999979</v>
      </c>
      <c r="N83" s="124">
        <f t="shared" ref="N83" si="91">N74-N82</f>
        <v>43154.190424999979</v>
      </c>
      <c r="O83" s="119">
        <f t="shared" si="74"/>
        <v>513297.06509999995</v>
      </c>
      <c r="P83" s="128">
        <f>+O83+O62</f>
        <v>739092.63809999987</v>
      </c>
      <c r="Q83" s="116"/>
    </row>
    <row r="84" spans="1:17" ht="32.25" thickBot="1" x14ac:dyDescent="0.3">
      <c r="A84" s="178"/>
      <c r="B84" s="136" t="s">
        <v>29</v>
      </c>
      <c r="C84" s="137">
        <f>+C74+C66-C82</f>
        <v>261037.95342500001</v>
      </c>
      <c r="D84" s="137">
        <f t="shared" ref="D84:N84" si="92">+D74+D66-D82</f>
        <v>303878.40385</v>
      </c>
      <c r="E84" s="137">
        <f t="shared" si="92"/>
        <v>349141.27427499997</v>
      </c>
      <c r="F84" s="137">
        <f t="shared" si="92"/>
        <v>390507.94469999999</v>
      </c>
      <c r="G84" s="137">
        <f t="shared" si="92"/>
        <v>431874.61512500001</v>
      </c>
      <c r="H84" s="137">
        <f t="shared" si="92"/>
        <v>485192.80555000005</v>
      </c>
      <c r="I84" s="137">
        <f t="shared" si="92"/>
        <v>528346.99597500009</v>
      </c>
      <c r="J84" s="137">
        <f t="shared" si="92"/>
        <v>571501.18640000001</v>
      </c>
      <c r="K84" s="137">
        <f t="shared" si="92"/>
        <v>614655.37682499993</v>
      </c>
      <c r="L84" s="137">
        <f t="shared" si="92"/>
        <v>657809.56724999985</v>
      </c>
      <c r="M84" s="137">
        <f t="shared" si="92"/>
        <v>700963.75767499977</v>
      </c>
      <c r="N84" s="137">
        <f t="shared" si="92"/>
        <v>744117.94809999969</v>
      </c>
      <c r="O84" s="119"/>
      <c r="P84" s="138"/>
      <c r="Q84" s="116"/>
    </row>
    <row r="86" spans="1:17" ht="16.5" thickBot="1" x14ac:dyDescent="0.3">
      <c r="A86" s="96"/>
      <c r="B86" s="96"/>
      <c r="C86" s="164" t="s">
        <v>150</v>
      </c>
      <c r="D86" s="164" t="s">
        <v>151</v>
      </c>
      <c r="E86" s="164" t="s">
        <v>152</v>
      </c>
      <c r="F86" s="164" t="s">
        <v>153</v>
      </c>
      <c r="G86" s="164" t="s">
        <v>154</v>
      </c>
      <c r="H86" s="164" t="s">
        <v>155</v>
      </c>
      <c r="I86" s="164" t="s">
        <v>156</v>
      </c>
      <c r="J86" s="164" t="s">
        <v>157</v>
      </c>
      <c r="K86" s="164" t="s">
        <v>158</v>
      </c>
      <c r="L86" s="164" t="s">
        <v>159</v>
      </c>
      <c r="M86" s="164" t="s">
        <v>160</v>
      </c>
      <c r="N86" s="164" t="s">
        <v>161</v>
      </c>
      <c r="O86" s="97" t="s">
        <v>31</v>
      </c>
      <c r="P86" s="97"/>
      <c r="Q86" s="97"/>
    </row>
    <row r="87" spans="1:17" ht="16.5" thickBot="1" x14ac:dyDescent="0.3">
      <c r="A87" s="96"/>
      <c r="B87" s="98" t="s">
        <v>28</v>
      </c>
      <c r="C87" s="99">
        <f>+N84</f>
        <v>744117.94809999969</v>
      </c>
      <c r="D87" s="99">
        <f>+C105</f>
        <v>786356.9847334997</v>
      </c>
      <c r="E87" s="99">
        <f>+D105</f>
        <v>831984.02136699972</v>
      </c>
      <c r="F87" s="99">
        <f t="shared" ref="F87" si="93">+E105</f>
        <v>877611.05800049962</v>
      </c>
      <c r="G87" s="99">
        <f t="shared" ref="G87" si="94">+F105</f>
        <v>935236.65463399957</v>
      </c>
      <c r="H87" s="99">
        <f t="shared" ref="H87" si="95">+G105</f>
        <v>989134.25126749952</v>
      </c>
      <c r="I87" s="99">
        <f t="shared" ref="I87" si="96">+H105</f>
        <v>1043031.8479009995</v>
      </c>
      <c r="J87" s="99">
        <f t="shared" ref="J87" si="97">+I105</f>
        <v>1096929.4445344994</v>
      </c>
      <c r="K87" s="99">
        <f t="shared" ref="K87" si="98">+J105</f>
        <v>1150827.0411679994</v>
      </c>
      <c r="L87" s="99">
        <f t="shared" ref="L87" si="99">+K105</f>
        <v>1204724.6378014993</v>
      </c>
      <c r="M87" s="99">
        <f t="shared" ref="M87" si="100">+L105</f>
        <v>1257390.2989864994</v>
      </c>
      <c r="N87" s="99">
        <f t="shared" ref="N87" si="101">+M105</f>
        <v>1310055.9601714995</v>
      </c>
      <c r="O87" s="100"/>
      <c r="P87" s="97"/>
      <c r="Q87" s="97"/>
    </row>
    <row r="88" spans="1:17" ht="15.75" x14ac:dyDescent="0.25">
      <c r="A88" s="96"/>
      <c r="B88" s="96"/>
      <c r="C88" s="101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97"/>
      <c r="P88" s="97"/>
      <c r="Q88" s="97"/>
    </row>
    <row r="89" spans="1:17" ht="15.75" x14ac:dyDescent="0.25">
      <c r="A89" s="179" t="s">
        <v>18</v>
      </c>
      <c r="B89" s="103" t="s">
        <v>19</v>
      </c>
      <c r="C89" s="106">
        <f>(+'Base de Dados'!C51*'Base de Dados'!C53+('Base de Dados'!C52*'Base de Dados'!C55))*'Base de Dados'!$P51</f>
        <v>186340</v>
      </c>
      <c r="D89" s="106">
        <f>(+'Base de Dados'!D51*'Base de Dados'!D53+('Base de Dados'!D52*'Base de Dados'!D55))*'Base de Dados'!$P51</f>
        <v>186340</v>
      </c>
      <c r="E89" s="106">
        <f>(+'Base de Dados'!E51*'Base de Dados'!E53+('Base de Dados'!E52*'Base de Dados'!E55))*'Base de Dados'!$P51</f>
        <v>186340</v>
      </c>
      <c r="F89" s="106">
        <f>(+'Base de Dados'!F51*'Base de Dados'!F53+('Base de Dados'!F52*'Base de Dados'!F55))*'Base de Dados'!$P51</f>
        <v>200624</v>
      </c>
      <c r="G89" s="106">
        <f>(+'Base de Dados'!G51*'Base de Dados'!G53+('Base de Dados'!G52*'Base de Dados'!G55))*'Base de Dados'!$P51</f>
        <v>200624</v>
      </c>
      <c r="H89" s="106">
        <f>(+'Base de Dados'!H51*'Base de Dados'!H53+('Base de Dados'!H52*'Base de Dados'!H55))*'Base de Dados'!$P51</f>
        <v>200624</v>
      </c>
      <c r="I89" s="106">
        <f>(+'Base de Dados'!I51*'Base de Dados'!I53+('Base de Dados'!I52*'Base de Dados'!I55))*'Base de Dados'!$P51</f>
        <v>200624</v>
      </c>
      <c r="J89" s="106">
        <f>(+'Base de Dados'!J51*'Base de Dados'!J53+('Base de Dados'!J52*'Base de Dados'!J55))*'Base de Dados'!$P51</f>
        <v>200624</v>
      </c>
      <c r="K89" s="106">
        <f>(+'Base de Dados'!K51*'Base de Dados'!K53+('Base de Dados'!K52*'Base de Dados'!K55))*'Base de Dados'!$P51</f>
        <v>200624</v>
      </c>
      <c r="L89" s="106">
        <f>(+'Base de Dados'!L51*'Base de Dados'!L53+('Base de Dados'!L52*'Base de Dados'!L55))*'Base de Dados'!$P51</f>
        <v>200624</v>
      </c>
      <c r="M89" s="106">
        <f>(+'Base de Dados'!M51*'Base de Dados'!M53+('Base de Dados'!M52*'Base de Dados'!M55))*'Base de Dados'!$P51</f>
        <v>200624</v>
      </c>
      <c r="N89" s="106">
        <f>(+'Base de Dados'!N51*'Base de Dados'!N53+('Base de Dados'!N52*'Base de Dados'!N55))*'Base de Dados'!$P51</f>
        <v>200624</v>
      </c>
      <c r="O89" s="100">
        <f>SUM(C89:N89)</f>
        <v>2364636</v>
      </c>
      <c r="P89" s="82">
        <f>+O89+N88</f>
        <v>2364636</v>
      </c>
      <c r="Q89" s="97"/>
    </row>
    <row r="90" spans="1:17" ht="15.75" x14ac:dyDescent="0.25">
      <c r="A90" s="179"/>
      <c r="B90" s="104" t="s">
        <v>51</v>
      </c>
      <c r="C90" s="106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0">
        <f t="shared" ref="O90:O104" si="102">SUM(C90:N90)</f>
        <v>0</v>
      </c>
      <c r="P90" s="97"/>
      <c r="Q90" s="97"/>
    </row>
    <row r="91" spans="1:17" ht="15.75" x14ac:dyDescent="0.25">
      <c r="A91" s="179"/>
      <c r="B91" s="103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0">
        <f t="shared" si="102"/>
        <v>0</v>
      </c>
      <c r="P91" s="97"/>
      <c r="Q91" s="97"/>
    </row>
    <row r="92" spans="1:17" ht="15.75" x14ac:dyDescent="0.25">
      <c r="A92" s="179"/>
      <c r="B92" s="104"/>
      <c r="C92" s="106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0">
        <f t="shared" si="102"/>
        <v>0</v>
      </c>
      <c r="P92" s="97"/>
      <c r="Q92" s="97"/>
    </row>
    <row r="93" spans="1:17" ht="15.75" x14ac:dyDescent="0.25">
      <c r="A93" s="179"/>
      <c r="B93" s="103" t="s">
        <v>21</v>
      </c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0">
        <f t="shared" si="102"/>
        <v>0</v>
      </c>
      <c r="P93" s="97"/>
      <c r="Q93" s="97"/>
    </row>
    <row r="94" spans="1:17" ht="16.5" thickBot="1" x14ac:dyDescent="0.3">
      <c r="A94" s="179"/>
      <c r="B94" s="103" t="s">
        <v>22</v>
      </c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0">
        <f t="shared" si="102"/>
        <v>0</v>
      </c>
      <c r="P94" s="97"/>
      <c r="Q94" s="97"/>
    </row>
    <row r="95" spans="1:17" ht="32.25" thickBot="1" x14ac:dyDescent="0.3">
      <c r="A95" s="180"/>
      <c r="B95" s="108" t="s">
        <v>23</v>
      </c>
      <c r="C95" s="109">
        <f t="shared" ref="C95:N95" si="103">SUM(C89:C94)</f>
        <v>186340</v>
      </c>
      <c r="D95" s="109">
        <f t="shared" si="103"/>
        <v>186340</v>
      </c>
      <c r="E95" s="109">
        <f t="shared" si="103"/>
        <v>186340</v>
      </c>
      <c r="F95" s="109">
        <f t="shared" si="103"/>
        <v>200624</v>
      </c>
      <c r="G95" s="109">
        <f t="shared" si="103"/>
        <v>200624</v>
      </c>
      <c r="H95" s="109">
        <f t="shared" si="103"/>
        <v>200624</v>
      </c>
      <c r="I95" s="109">
        <f t="shared" si="103"/>
        <v>200624</v>
      </c>
      <c r="J95" s="109">
        <f t="shared" si="103"/>
        <v>200624</v>
      </c>
      <c r="K95" s="109">
        <f t="shared" si="103"/>
        <v>200624</v>
      </c>
      <c r="L95" s="109">
        <f t="shared" si="103"/>
        <v>200624</v>
      </c>
      <c r="M95" s="109">
        <f t="shared" si="103"/>
        <v>200624</v>
      </c>
      <c r="N95" s="109">
        <f t="shared" si="103"/>
        <v>200624</v>
      </c>
      <c r="O95" s="110">
        <f t="shared" si="102"/>
        <v>2364636</v>
      </c>
      <c r="P95" s="97"/>
      <c r="Q95" s="97"/>
    </row>
    <row r="96" spans="1:17" ht="15.75" x14ac:dyDescent="0.25">
      <c r="A96" s="181" t="s">
        <v>24</v>
      </c>
      <c r="B96" s="104" t="s">
        <v>52</v>
      </c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0">
        <f t="shared" si="102"/>
        <v>0</v>
      </c>
      <c r="P96" s="97"/>
      <c r="Q96" s="97"/>
    </row>
    <row r="97" spans="1:17" ht="15.75" x14ac:dyDescent="0.25">
      <c r="A97" s="182"/>
      <c r="B97" s="103" t="s">
        <v>53</v>
      </c>
      <c r="C97" s="105">
        <f>+'Base de Dados'!N43*'Base de Dados'!N46+('Base de Dados'!N44*'Base de Dados'!N47)</f>
        <v>77924</v>
      </c>
      <c r="D97" s="105">
        <f>+'Base de Dados'!C51*'Base de Dados'!C54+('Base de Dados'!C52*'Base de Dados'!C55)</f>
        <v>74536.000000000015</v>
      </c>
      <c r="E97" s="105">
        <f>+'Base de Dados'!D51*'Base de Dados'!D54+('Base de Dados'!D52*'Base de Dados'!D55)</f>
        <v>74536.000000000015</v>
      </c>
      <c r="F97" s="105">
        <f>+'Base de Dados'!E51*'Base de Dados'!E54+('Base de Dados'!E52*'Base de Dados'!E55)</f>
        <v>74536.000000000015</v>
      </c>
      <c r="G97" s="105">
        <f>+'Base de Dados'!F51*'Base de Dados'!F54+('Base de Dados'!F52*'Base de Dados'!F55)</f>
        <v>78264</v>
      </c>
      <c r="H97" s="105">
        <f>+'Base de Dados'!G51*'Base de Dados'!G54+('Base de Dados'!G52*'Base de Dados'!G55)</f>
        <v>78264</v>
      </c>
      <c r="I97" s="105">
        <f>+'Base de Dados'!H51*'Base de Dados'!H54+('Base de Dados'!H52*'Base de Dados'!H55)</f>
        <v>78264</v>
      </c>
      <c r="J97" s="105">
        <f>+'Base de Dados'!I51*'Base de Dados'!I54+('Base de Dados'!I52*'Base de Dados'!I55)</f>
        <v>78264</v>
      </c>
      <c r="K97" s="105">
        <f>+'Base de Dados'!J51*'Base de Dados'!J54+('Base de Dados'!J52*'Base de Dados'!J55)</f>
        <v>78264</v>
      </c>
      <c r="L97" s="105">
        <f>+'Base de Dados'!K51*'Base de Dados'!K54+('Base de Dados'!K52*'Base de Dados'!K55)</f>
        <v>78264</v>
      </c>
      <c r="M97" s="105">
        <f>+'Base de Dados'!L51*'Base de Dados'!L54+('Base de Dados'!L52*'Base de Dados'!L55)</f>
        <v>78264</v>
      </c>
      <c r="N97" s="105">
        <f>+'Base de Dados'!M51*'Base de Dados'!M54+('Base de Dados'!M52*'Base de Dados'!M55)</f>
        <v>78264</v>
      </c>
      <c r="O97" s="100">
        <f t="shared" si="102"/>
        <v>927644</v>
      </c>
      <c r="P97" s="91">
        <f>+O97+C118</f>
        <v>927644</v>
      </c>
      <c r="Q97" s="97"/>
    </row>
    <row r="98" spans="1:17" ht="15.75" x14ac:dyDescent="0.25">
      <c r="A98" s="182"/>
      <c r="B98" s="103" t="s">
        <v>25</v>
      </c>
      <c r="C98" s="105">
        <f>C95*0.16</f>
        <v>29814.400000000001</v>
      </c>
      <c r="D98" s="105">
        <f t="shared" ref="D98:N98" si="104">D95*0.16</f>
        <v>29814.400000000001</v>
      </c>
      <c r="E98" s="105">
        <f t="shared" si="104"/>
        <v>29814.400000000001</v>
      </c>
      <c r="F98" s="105">
        <f t="shared" si="104"/>
        <v>32099.84</v>
      </c>
      <c r="G98" s="105">
        <f t="shared" si="104"/>
        <v>32099.84</v>
      </c>
      <c r="H98" s="105">
        <f t="shared" si="104"/>
        <v>32099.84</v>
      </c>
      <c r="I98" s="105">
        <f t="shared" si="104"/>
        <v>32099.84</v>
      </c>
      <c r="J98" s="105">
        <f t="shared" si="104"/>
        <v>32099.84</v>
      </c>
      <c r="K98" s="105">
        <f t="shared" si="104"/>
        <v>32099.84</v>
      </c>
      <c r="L98" s="105">
        <f t="shared" si="104"/>
        <v>32099.84</v>
      </c>
      <c r="M98" s="105">
        <f t="shared" si="104"/>
        <v>32099.84</v>
      </c>
      <c r="N98" s="105">
        <f t="shared" si="104"/>
        <v>32099.84</v>
      </c>
      <c r="O98" s="100">
        <f t="shared" si="102"/>
        <v>378341.76000000007</v>
      </c>
      <c r="P98" s="97"/>
      <c r="Q98" s="97"/>
    </row>
    <row r="99" spans="1:17" ht="15.75" x14ac:dyDescent="0.25">
      <c r="A99" s="182"/>
      <c r="B99" s="103" t="s">
        <v>96</v>
      </c>
      <c r="C99" s="105">
        <f>C78+C78*0.2</f>
        <v>16588.8</v>
      </c>
      <c r="D99" s="105">
        <f t="shared" ref="D99:N99" si="105">D78+D78*0.2</f>
        <v>16588.8</v>
      </c>
      <c r="E99" s="105">
        <f t="shared" si="105"/>
        <v>16588.8</v>
      </c>
      <c r="F99" s="105">
        <f t="shared" si="105"/>
        <v>16588.8</v>
      </c>
      <c r="G99" s="105">
        <f t="shared" si="105"/>
        <v>16588.8</v>
      </c>
      <c r="H99" s="105">
        <f t="shared" si="105"/>
        <v>16588.8</v>
      </c>
      <c r="I99" s="105">
        <f t="shared" si="105"/>
        <v>16588.8</v>
      </c>
      <c r="J99" s="105">
        <f t="shared" si="105"/>
        <v>16588.8</v>
      </c>
      <c r="K99" s="105">
        <f t="shared" si="105"/>
        <v>16588.8</v>
      </c>
      <c r="L99" s="105">
        <f t="shared" si="105"/>
        <v>16588.8</v>
      </c>
      <c r="M99" s="105">
        <f t="shared" si="105"/>
        <v>16588.8</v>
      </c>
      <c r="N99" s="105">
        <f t="shared" si="105"/>
        <v>16588.8</v>
      </c>
      <c r="O99" s="100">
        <f t="shared" si="102"/>
        <v>199065.59999999995</v>
      </c>
      <c r="P99" s="97"/>
      <c r="Q99" s="97"/>
    </row>
    <row r="100" spans="1:17" ht="15.75" x14ac:dyDescent="0.25">
      <c r="A100" s="182"/>
      <c r="B100" s="103" t="s">
        <v>57</v>
      </c>
      <c r="C100" s="105">
        <f>'DESPESA FIXA MENSAL'!B95</f>
        <v>2617.8588150000005</v>
      </c>
      <c r="D100" s="105">
        <f>'DESPESA FIXA MENSAL'!C95</f>
        <v>2617.8588150000005</v>
      </c>
      <c r="E100" s="105">
        <f>'DESPESA FIXA MENSAL'!D95</f>
        <v>2617.8588150000005</v>
      </c>
      <c r="F100" s="105">
        <f>'DESPESA FIXA MENSAL'!E95</f>
        <v>2617.8588150000005</v>
      </c>
      <c r="G100" s="105">
        <f>'DESPESA FIXA MENSAL'!F95</f>
        <v>2617.8588150000005</v>
      </c>
      <c r="H100" s="105">
        <f>'DESPESA FIXA MENSAL'!G95</f>
        <v>2617.8588150000005</v>
      </c>
      <c r="I100" s="105">
        <f>'DESPESA FIXA MENSAL'!H95</f>
        <v>2617.8588150000005</v>
      </c>
      <c r="J100" s="105">
        <f>'DESPESA FIXA MENSAL'!I95</f>
        <v>2617.8588150000005</v>
      </c>
      <c r="K100" s="105">
        <f>'DESPESA FIXA MENSAL'!J95</f>
        <v>2617.8588150000005</v>
      </c>
      <c r="L100" s="105">
        <f>'DESPESA FIXA MENSAL'!K95</f>
        <v>2617.8588150000005</v>
      </c>
      <c r="M100" s="105">
        <f>'DESPESA FIXA MENSAL'!L95</f>
        <v>2617.8588150000005</v>
      </c>
      <c r="N100" s="105">
        <f>'DESPESA FIXA MENSAL'!M95</f>
        <v>2617.8588150000005</v>
      </c>
      <c r="O100" s="100">
        <f t="shared" si="102"/>
        <v>31414.305779999999</v>
      </c>
      <c r="P100" s="97"/>
      <c r="Q100" s="97"/>
    </row>
    <row r="101" spans="1:17" ht="15.75" x14ac:dyDescent="0.25">
      <c r="A101" s="182"/>
      <c r="B101" s="103" t="s">
        <v>94</v>
      </c>
      <c r="C101" s="105">
        <f>SUM('DESPESA FIXA MENSAL'!B91:B92)+'DESPESA FIXA MENSAL'!B104</f>
        <v>10779.41865</v>
      </c>
      <c r="D101" s="105">
        <f>SUM('DESPESA FIXA MENSAL'!C91:C92)+'DESPESA FIXA MENSAL'!C104</f>
        <v>10779.41865</v>
      </c>
      <c r="E101" s="105">
        <f>SUM('DESPESA FIXA MENSAL'!D91:D92)+'DESPESA FIXA MENSAL'!D104</f>
        <v>10779.41865</v>
      </c>
      <c r="F101" s="105">
        <f>SUM('DESPESA FIXA MENSAL'!E91:E92)+'DESPESA FIXA MENSAL'!E104</f>
        <v>10779.41865</v>
      </c>
      <c r="G101" s="105">
        <f>SUM('DESPESA FIXA MENSAL'!F91:F92)+'DESPESA FIXA MENSAL'!F104</f>
        <v>10779.41865</v>
      </c>
      <c r="H101" s="105">
        <f>SUM('DESPESA FIXA MENSAL'!G91:G92)+'DESPESA FIXA MENSAL'!G104</f>
        <v>10779.41865</v>
      </c>
      <c r="I101" s="105">
        <f>SUM('DESPESA FIXA MENSAL'!H91:H92)+'DESPESA FIXA MENSAL'!H104</f>
        <v>10779.41865</v>
      </c>
      <c r="J101" s="105">
        <f>SUM('DESPESA FIXA MENSAL'!I91:I92)+'DESPESA FIXA MENSAL'!I104</f>
        <v>10779.41865</v>
      </c>
      <c r="K101" s="105">
        <f>SUM('DESPESA FIXA MENSAL'!J91:J92)+'DESPESA FIXA MENSAL'!J104</f>
        <v>10779.41865</v>
      </c>
      <c r="L101" s="105">
        <v>12011.35</v>
      </c>
      <c r="M101" s="105">
        <v>12011.35</v>
      </c>
      <c r="N101" s="105">
        <v>12011.35</v>
      </c>
      <c r="O101" s="100">
        <f t="shared" si="102"/>
        <v>133048.81785000002</v>
      </c>
      <c r="P101" s="97"/>
      <c r="Q101" s="97"/>
    </row>
    <row r="102" spans="1:17" ht="16.5" thickBot="1" x14ac:dyDescent="0.3">
      <c r="A102" s="182"/>
      <c r="B102" s="103" t="s">
        <v>26</v>
      </c>
      <c r="C102" s="105">
        <f>SUM('DESPESA FIXA MENSAL'!B96:B103)+'DESPESA FIXA MENSAL'!B105</f>
        <v>6376.4859014999993</v>
      </c>
      <c r="D102" s="105">
        <f>SUM('DESPESA FIXA MENSAL'!C96:C103)+'DESPESA FIXA MENSAL'!C105</f>
        <v>6376.4859014999993</v>
      </c>
      <c r="E102" s="105">
        <f>SUM('DESPESA FIXA MENSAL'!D96:D103)+'DESPESA FIXA MENSAL'!D105</f>
        <v>6376.4859014999993</v>
      </c>
      <c r="F102" s="105">
        <f>SUM('DESPESA FIXA MENSAL'!E96:E103)+'DESPESA FIXA MENSAL'!E105</f>
        <v>6376.4859014999993</v>
      </c>
      <c r="G102" s="105">
        <f>SUM('DESPESA FIXA MENSAL'!F96:F103)+'DESPESA FIXA MENSAL'!F105</f>
        <v>6376.4859014999993</v>
      </c>
      <c r="H102" s="105">
        <f>SUM('DESPESA FIXA MENSAL'!G96:G103)+'DESPESA FIXA MENSAL'!G105</f>
        <v>6376.4859014999993</v>
      </c>
      <c r="I102" s="105">
        <f>SUM('DESPESA FIXA MENSAL'!H96:H103)+'DESPESA FIXA MENSAL'!H105</f>
        <v>6376.4859014999993</v>
      </c>
      <c r="J102" s="105">
        <f>SUM('DESPESA FIXA MENSAL'!I96:I103)+'DESPESA FIXA MENSAL'!I105</f>
        <v>6376.4859014999993</v>
      </c>
      <c r="K102" s="105">
        <f>SUM('DESPESA FIXA MENSAL'!J96:J103)+'DESPESA FIXA MENSAL'!J105</f>
        <v>6376.4859014999993</v>
      </c>
      <c r="L102" s="105">
        <v>6376.49</v>
      </c>
      <c r="M102" s="105">
        <v>6376.49</v>
      </c>
      <c r="N102" s="105">
        <v>6376.49</v>
      </c>
      <c r="O102" s="100">
        <f t="shared" si="102"/>
        <v>76517.843113499985</v>
      </c>
      <c r="P102" s="82">
        <f>SUM(O99:O102)</f>
        <v>440046.56674349995</v>
      </c>
      <c r="Q102" s="97"/>
    </row>
    <row r="103" spans="1:17" ht="32.25" thickBot="1" x14ac:dyDescent="0.3">
      <c r="A103" s="183"/>
      <c r="B103" s="111" t="s">
        <v>27</v>
      </c>
      <c r="C103" s="112">
        <f t="shared" ref="C103:H103" si="106">SUM(C96:C102)</f>
        <v>144100.96336650001</v>
      </c>
      <c r="D103" s="112">
        <f t="shared" si="106"/>
        <v>140712.96336650004</v>
      </c>
      <c r="E103" s="112">
        <f t="shared" si="106"/>
        <v>140712.96336650004</v>
      </c>
      <c r="F103" s="112">
        <f t="shared" si="106"/>
        <v>142998.40336650002</v>
      </c>
      <c r="G103" s="112">
        <f t="shared" si="106"/>
        <v>146726.40336650002</v>
      </c>
      <c r="H103" s="112">
        <f t="shared" si="106"/>
        <v>146726.40336650002</v>
      </c>
      <c r="I103" s="112">
        <f t="shared" ref="I103:N103" si="107">SUM(I96:I102)</f>
        <v>146726.40336650002</v>
      </c>
      <c r="J103" s="112">
        <f t="shared" si="107"/>
        <v>146726.40336650002</v>
      </c>
      <c r="K103" s="112">
        <f t="shared" si="107"/>
        <v>146726.40336650002</v>
      </c>
      <c r="L103" s="112">
        <f t="shared" si="107"/>
        <v>147958.338815</v>
      </c>
      <c r="M103" s="112">
        <f t="shared" si="107"/>
        <v>147958.338815</v>
      </c>
      <c r="N103" s="112">
        <f t="shared" si="107"/>
        <v>147958.338815</v>
      </c>
      <c r="O103" s="110">
        <f t="shared" si="102"/>
        <v>1746032.3267435001</v>
      </c>
      <c r="P103" s="97"/>
      <c r="Q103" s="97"/>
    </row>
    <row r="104" spans="1:17" ht="16.5" thickBot="1" x14ac:dyDescent="0.3">
      <c r="A104" s="184"/>
      <c r="B104" s="103" t="s">
        <v>32</v>
      </c>
      <c r="C104" s="105">
        <f t="shared" ref="C104" si="108">C95-C103</f>
        <v>42239.036633499985</v>
      </c>
      <c r="D104" s="105">
        <f t="shared" ref="D104" si="109">D95-D103</f>
        <v>45627.036633499956</v>
      </c>
      <c r="E104" s="105">
        <f t="shared" ref="E104" si="110">E95-E103</f>
        <v>45627.036633499956</v>
      </c>
      <c r="F104" s="105">
        <f t="shared" ref="F104" si="111">F95-F103</f>
        <v>57625.596633499983</v>
      </c>
      <c r="G104" s="105">
        <f t="shared" ref="G104" si="112">G95-G103</f>
        <v>53897.596633499983</v>
      </c>
      <c r="H104" s="105">
        <f t="shared" ref="H104" si="113">H95-H103</f>
        <v>53897.596633499983</v>
      </c>
      <c r="I104" s="105">
        <f t="shared" ref="I104" si="114">I95-I103</f>
        <v>53897.596633499983</v>
      </c>
      <c r="J104" s="105">
        <f t="shared" ref="J104" si="115">J95-J103</f>
        <v>53897.596633499983</v>
      </c>
      <c r="K104" s="105">
        <f t="shared" ref="K104" si="116">K95-K103</f>
        <v>53897.596633499983</v>
      </c>
      <c r="L104" s="105">
        <f t="shared" ref="L104" si="117">L95-L103</f>
        <v>52665.661185000004</v>
      </c>
      <c r="M104" s="105">
        <f t="shared" ref="M104" si="118">M95-M103</f>
        <v>52665.661185000004</v>
      </c>
      <c r="N104" s="105">
        <f t="shared" ref="N104" si="119">N95-N103</f>
        <v>52665.661185000004</v>
      </c>
      <c r="O104" s="100">
        <f t="shared" si="102"/>
        <v>618603.67325649969</v>
      </c>
      <c r="P104" s="82">
        <f>+O104+O83</f>
        <v>1131900.7383564997</v>
      </c>
      <c r="Q104" s="97"/>
    </row>
    <row r="105" spans="1:17" ht="32.25" thickBot="1" x14ac:dyDescent="0.3">
      <c r="A105" s="185"/>
      <c r="B105" s="113" t="s">
        <v>29</v>
      </c>
      <c r="C105" s="114">
        <f>+C95+C87-C103</f>
        <v>786356.9847334997</v>
      </c>
      <c r="D105" s="114">
        <f t="shared" ref="D105:N105" si="120">+D95+D87-D103</f>
        <v>831984.02136699972</v>
      </c>
      <c r="E105" s="114">
        <f t="shared" si="120"/>
        <v>877611.05800049962</v>
      </c>
      <c r="F105" s="114">
        <f t="shared" si="120"/>
        <v>935236.65463399957</v>
      </c>
      <c r="G105" s="114">
        <f t="shared" si="120"/>
        <v>989134.25126749952</v>
      </c>
      <c r="H105" s="114">
        <f t="shared" si="120"/>
        <v>1043031.8479009995</v>
      </c>
      <c r="I105" s="114">
        <f t="shared" si="120"/>
        <v>1096929.4445344994</v>
      </c>
      <c r="J105" s="114">
        <f t="shared" si="120"/>
        <v>1150827.0411679994</v>
      </c>
      <c r="K105" s="114">
        <f t="shared" si="120"/>
        <v>1204724.6378014993</v>
      </c>
      <c r="L105" s="114">
        <f t="shared" si="120"/>
        <v>1257390.2989864994</v>
      </c>
      <c r="M105" s="114">
        <f t="shared" si="120"/>
        <v>1310055.9601714995</v>
      </c>
      <c r="N105" s="114">
        <f t="shared" si="120"/>
        <v>1362721.6213564996</v>
      </c>
      <c r="O105" s="100"/>
      <c r="P105" s="97"/>
      <c r="Q105" s="97"/>
    </row>
  </sheetData>
  <mergeCells count="15">
    <mergeCell ref="A5:A11"/>
    <mergeCell ref="A12:A19"/>
    <mergeCell ref="A20:A21"/>
    <mergeCell ref="A26:A32"/>
    <mergeCell ref="A33:A40"/>
    <mergeCell ref="A41:A42"/>
    <mergeCell ref="A47:A53"/>
    <mergeCell ref="A54:A61"/>
    <mergeCell ref="A62:A63"/>
    <mergeCell ref="A68:A74"/>
    <mergeCell ref="A75:A82"/>
    <mergeCell ref="A83:A84"/>
    <mergeCell ref="A89:A95"/>
    <mergeCell ref="A96:A103"/>
    <mergeCell ref="A104:A105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Q56"/>
  <sheetViews>
    <sheetView showGridLines="0" topLeftCell="A61" workbookViewId="0">
      <selection activeCell="L6" sqref="L6"/>
    </sheetView>
  </sheetViews>
  <sheetFormatPr defaultRowHeight="15" x14ac:dyDescent="0.25"/>
  <cols>
    <col min="2" max="2" width="23.42578125" customWidth="1"/>
    <col min="3" max="3" width="8.7109375" style="67" bestFit="1" customWidth="1"/>
    <col min="4" max="4" width="8.7109375" bestFit="1" customWidth="1"/>
    <col min="5" max="5" width="10.85546875" customWidth="1"/>
    <col min="6" max="7" width="9.42578125" bestFit="1" customWidth="1"/>
    <col min="8" max="8" width="15.42578125" bestFit="1" customWidth="1"/>
    <col min="9" max="10" width="11" bestFit="1" customWidth="1"/>
    <col min="11" max="11" width="11.28515625" bestFit="1" customWidth="1"/>
    <col min="12" max="12" width="12.85546875" bestFit="1" customWidth="1"/>
    <col min="13" max="14" width="11" bestFit="1" customWidth="1"/>
    <col min="15" max="15" width="15.7109375" bestFit="1" customWidth="1"/>
    <col min="16" max="16" width="14" bestFit="1" customWidth="1"/>
    <col min="17" max="17" width="14.42578125" bestFit="1" customWidth="1"/>
  </cols>
  <sheetData>
    <row r="4" spans="5:12" ht="19.5" x14ac:dyDescent="0.4">
      <c r="E4" s="166" t="s">
        <v>46</v>
      </c>
      <c r="F4" s="166"/>
      <c r="G4" s="166"/>
      <c r="H4" s="173">
        <v>350</v>
      </c>
      <c r="I4" s="40"/>
      <c r="J4" s="39"/>
      <c r="K4" s="39"/>
      <c r="L4" s="39"/>
    </row>
    <row r="5" spans="5:12" ht="19.5" x14ac:dyDescent="0.4">
      <c r="E5" s="166" t="s">
        <v>47</v>
      </c>
      <c r="F5" s="166"/>
      <c r="G5" s="166"/>
      <c r="H5" s="173">
        <v>140</v>
      </c>
      <c r="I5" s="39"/>
      <c r="J5" s="39"/>
      <c r="K5" s="39"/>
      <c r="L5" s="39"/>
    </row>
    <row r="6" spans="5:12" ht="19.5" x14ac:dyDescent="0.4">
      <c r="E6" s="195"/>
      <c r="F6" s="196"/>
      <c r="G6" s="196"/>
      <c r="H6" s="197"/>
      <c r="I6" s="39"/>
      <c r="J6" s="39"/>
      <c r="K6" s="39"/>
      <c r="L6" s="39"/>
    </row>
    <row r="7" spans="5:12" ht="19.5" x14ac:dyDescent="0.4">
      <c r="E7" s="166" t="s">
        <v>48</v>
      </c>
      <c r="F7" s="166"/>
      <c r="G7" s="166"/>
      <c r="H7" s="173">
        <f>+H4-H5</f>
        <v>210</v>
      </c>
      <c r="I7" s="41"/>
      <c r="J7" s="39"/>
      <c r="K7" s="39"/>
      <c r="L7" s="39"/>
    </row>
    <row r="8" spans="5:12" ht="17.25" customHeight="1" x14ac:dyDescent="0.4">
      <c r="E8" s="166" t="s">
        <v>64</v>
      </c>
      <c r="F8" s="166"/>
      <c r="G8" s="166"/>
      <c r="H8" s="167">
        <f>+D19/(+D20+D19)</f>
        <v>1</v>
      </c>
      <c r="I8" s="41"/>
      <c r="J8" s="39"/>
      <c r="K8" s="66"/>
      <c r="L8" s="39"/>
    </row>
    <row r="9" spans="5:12" ht="18" customHeight="1" x14ac:dyDescent="0.4">
      <c r="E9" s="166" t="s">
        <v>164</v>
      </c>
      <c r="F9" s="166"/>
      <c r="G9" s="166"/>
      <c r="H9" s="173">
        <f>ROUND(+H7*H8,2)</f>
        <v>210</v>
      </c>
      <c r="I9" s="41"/>
      <c r="J9" s="39"/>
      <c r="K9" s="41"/>
      <c r="L9" s="39"/>
    </row>
    <row r="10" spans="5:12" ht="19.5" x14ac:dyDescent="0.4">
      <c r="E10" s="166" t="s">
        <v>162</v>
      </c>
      <c r="F10" s="166"/>
      <c r="G10" s="166"/>
      <c r="H10" s="166">
        <v>80</v>
      </c>
      <c r="I10" s="39"/>
      <c r="J10" s="39"/>
      <c r="K10" s="45"/>
      <c r="L10" s="39"/>
    </row>
    <row r="12" spans="5:12" x14ac:dyDescent="0.25">
      <c r="H12" s="29"/>
      <c r="I12" s="29"/>
    </row>
    <row r="17" spans="2:17" ht="15.75" thickBot="1" x14ac:dyDescent="0.3"/>
    <row r="18" spans="2:17" ht="16.5" thickBot="1" x14ac:dyDescent="0.3">
      <c r="B18" s="3" t="s">
        <v>50</v>
      </c>
      <c r="C18" s="165" t="s">
        <v>102</v>
      </c>
      <c r="D18" s="165" t="s">
        <v>103</v>
      </c>
      <c r="E18" s="165" t="s">
        <v>104</v>
      </c>
      <c r="F18" s="165" t="s">
        <v>105</v>
      </c>
      <c r="G18" s="165" t="s">
        <v>106</v>
      </c>
      <c r="H18" s="165" t="s">
        <v>107</v>
      </c>
      <c r="I18" s="165" t="s">
        <v>108</v>
      </c>
      <c r="J18" s="165" t="s">
        <v>109</v>
      </c>
      <c r="K18" s="165" t="s">
        <v>110</v>
      </c>
      <c r="L18" s="165" t="s">
        <v>111</v>
      </c>
      <c r="M18" s="165" t="s">
        <v>112</v>
      </c>
      <c r="N18" s="165" t="s">
        <v>113</v>
      </c>
      <c r="O18" s="4" t="s">
        <v>31</v>
      </c>
      <c r="P18" t="s">
        <v>54</v>
      </c>
      <c r="Q18" t="s">
        <v>55</v>
      </c>
    </row>
    <row r="19" spans="2:17" x14ac:dyDescent="0.25">
      <c r="B19" s="3" t="s">
        <v>89</v>
      </c>
      <c r="C19" s="64"/>
      <c r="D19" s="3">
        <v>20</v>
      </c>
      <c r="E19" s="3">
        <f>ROUNDDOWN(+D19*1.1,0)</f>
        <v>22</v>
      </c>
      <c r="F19" s="3">
        <f t="shared" ref="F19:N19" si="0">ROUNDDOWN(+E19*1.1,0)</f>
        <v>24</v>
      </c>
      <c r="G19" s="3">
        <f t="shared" si="0"/>
        <v>26</v>
      </c>
      <c r="H19" s="3">
        <f t="shared" si="0"/>
        <v>28</v>
      </c>
      <c r="I19" s="3">
        <f t="shared" si="0"/>
        <v>30</v>
      </c>
      <c r="J19" s="3">
        <f t="shared" si="0"/>
        <v>33</v>
      </c>
      <c r="K19" s="3">
        <f t="shared" si="0"/>
        <v>36</v>
      </c>
      <c r="L19" s="3">
        <f t="shared" si="0"/>
        <v>39</v>
      </c>
      <c r="M19" s="3">
        <f t="shared" si="0"/>
        <v>42</v>
      </c>
      <c r="N19" s="3">
        <f t="shared" si="0"/>
        <v>46</v>
      </c>
      <c r="O19" s="6">
        <f>SUM(C19:N19)</f>
        <v>346</v>
      </c>
      <c r="P19" s="29">
        <v>1</v>
      </c>
      <c r="Q19" s="29">
        <v>0</v>
      </c>
    </row>
    <row r="20" spans="2:17" ht="15.75" thickBot="1" x14ac:dyDescent="0.3">
      <c r="B20" s="7"/>
      <c r="C20" s="68">
        <v>0</v>
      </c>
      <c r="D20" s="7">
        <v>0</v>
      </c>
      <c r="E20" s="7">
        <v>0</v>
      </c>
      <c r="F20" s="7">
        <f t="shared" ref="F20:N20" si="1">ROUNDDOWN(+E20*1.1,0)</f>
        <v>0</v>
      </c>
      <c r="G20" s="7">
        <f t="shared" si="1"/>
        <v>0</v>
      </c>
      <c r="H20" s="7">
        <f t="shared" si="1"/>
        <v>0</v>
      </c>
      <c r="I20" s="7">
        <f t="shared" si="1"/>
        <v>0</v>
      </c>
      <c r="J20" s="7">
        <f t="shared" si="1"/>
        <v>0</v>
      </c>
      <c r="K20" s="7">
        <f t="shared" si="1"/>
        <v>0</v>
      </c>
      <c r="L20" s="7">
        <f t="shared" si="1"/>
        <v>0</v>
      </c>
      <c r="M20" s="7">
        <f t="shared" si="1"/>
        <v>0</v>
      </c>
      <c r="N20" s="7">
        <f t="shared" si="1"/>
        <v>0</v>
      </c>
      <c r="O20" s="7">
        <f>SUM(D20:N20)</f>
        <v>0</v>
      </c>
    </row>
    <row r="21" spans="2:17" ht="16.5" thickBot="1" x14ac:dyDescent="0.3">
      <c r="B21" s="32" t="s">
        <v>90</v>
      </c>
      <c r="C21" s="69">
        <v>350</v>
      </c>
      <c r="D21" s="33">
        <f>+C21</f>
        <v>350</v>
      </c>
      <c r="E21" s="33">
        <f t="shared" ref="E21:N21" si="2">+D21</f>
        <v>350</v>
      </c>
      <c r="F21" s="33">
        <f t="shared" si="2"/>
        <v>350</v>
      </c>
      <c r="G21" s="33">
        <f t="shared" si="2"/>
        <v>350</v>
      </c>
      <c r="H21" s="33">
        <f t="shared" si="2"/>
        <v>350</v>
      </c>
      <c r="I21" s="33">
        <f t="shared" si="2"/>
        <v>350</v>
      </c>
      <c r="J21" s="33">
        <f t="shared" si="2"/>
        <v>350</v>
      </c>
      <c r="K21" s="33">
        <f t="shared" si="2"/>
        <v>350</v>
      </c>
      <c r="L21" s="33">
        <f t="shared" si="2"/>
        <v>350</v>
      </c>
      <c r="M21" s="33">
        <f t="shared" si="2"/>
        <v>350</v>
      </c>
      <c r="N21" s="33">
        <f t="shared" si="2"/>
        <v>350</v>
      </c>
      <c r="O21" s="31"/>
      <c r="P21" t="s">
        <v>56</v>
      </c>
    </row>
    <row r="22" spans="2:17" ht="15.75" x14ac:dyDescent="0.25">
      <c r="B22" s="32" t="s">
        <v>91</v>
      </c>
      <c r="C22" s="69">
        <v>140</v>
      </c>
      <c r="D22" s="33">
        <f>+C22</f>
        <v>140</v>
      </c>
      <c r="E22" s="33">
        <f t="shared" ref="E22:N22" si="3">+D22</f>
        <v>140</v>
      </c>
      <c r="F22" s="33">
        <f t="shared" si="3"/>
        <v>140</v>
      </c>
      <c r="G22" s="33">
        <f t="shared" si="3"/>
        <v>140</v>
      </c>
      <c r="H22" s="33">
        <f t="shared" si="3"/>
        <v>140</v>
      </c>
      <c r="I22" s="33">
        <f t="shared" si="3"/>
        <v>140</v>
      </c>
      <c r="J22" s="33">
        <f t="shared" si="3"/>
        <v>140</v>
      </c>
      <c r="K22" s="33">
        <f t="shared" si="3"/>
        <v>140</v>
      </c>
      <c r="L22" s="33">
        <f t="shared" si="3"/>
        <v>140</v>
      </c>
      <c r="M22" s="33">
        <f t="shared" si="3"/>
        <v>140</v>
      </c>
      <c r="N22" s="33">
        <f t="shared" si="3"/>
        <v>140</v>
      </c>
      <c r="O22" s="30"/>
    </row>
    <row r="23" spans="2:17" ht="15.75" x14ac:dyDescent="0.25">
      <c r="B23" s="32"/>
      <c r="C23" s="70">
        <v>0</v>
      </c>
      <c r="D23" s="34">
        <f>+C23</f>
        <v>0</v>
      </c>
      <c r="E23" s="34">
        <f t="shared" ref="E23:N23" si="4">+D23</f>
        <v>0</v>
      </c>
      <c r="F23" s="34">
        <f t="shared" si="4"/>
        <v>0</v>
      </c>
      <c r="G23" s="34">
        <f t="shared" si="4"/>
        <v>0</v>
      </c>
      <c r="H23" s="34">
        <f t="shared" si="4"/>
        <v>0</v>
      </c>
      <c r="I23" s="34">
        <f t="shared" si="4"/>
        <v>0</v>
      </c>
      <c r="J23" s="34">
        <f t="shared" si="4"/>
        <v>0</v>
      </c>
      <c r="K23" s="34">
        <f t="shared" si="4"/>
        <v>0</v>
      </c>
      <c r="L23" s="34">
        <f t="shared" si="4"/>
        <v>0</v>
      </c>
      <c r="M23" s="34">
        <f t="shared" si="4"/>
        <v>0</v>
      </c>
      <c r="N23" s="34">
        <f t="shared" si="4"/>
        <v>0</v>
      </c>
      <c r="O23" s="2"/>
    </row>
    <row r="24" spans="2:17" ht="15.75" x14ac:dyDescent="0.25">
      <c r="B24" s="32"/>
      <c r="C24" s="70">
        <v>0</v>
      </c>
      <c r="D24" s="34">
        <f>+C24</f>
        <v>0</v>
      </c>
      <c r="E24" s="34">
        <f t="shared" ref="E24:N24" si="5">+D24</f>
        <v>0</v>
      </c>
      <c r="F24" s="34">
        <f t="shared" si="5"/>
        <v>0</v>
      </c>
      <c r="G24" s="34">
        <f t="shared" si="5"/>
        <v>0</v>
      </c>
      <c r="H24" s="34">
        <f t="shared" si="5"/>
        <v>0</v>
      </c>
      <c r="I24" s="34">
        <f t="shared" si="5"/>
        <v>0</v>
      </c>
      <c r="J24" s="34">
        <f t="shared" si="5"/>
        <v>0</v>
      </c>
      <c r="K24" s="34">
        <f t="shared" si="5"/>
        <v>0</v>
      </c>
      <c r="L24" s="34">
        <f t="shared" si="5"/>
        <v>0</v>
      </c>
      <c r="M24" s="34">
        <f t="shared" si="5"/>
        <v>0</v>
      </c>
      <c r="N24" s="34">
        <f t="shared" si="5"/>
        <v>0</v>
      </c>
      <c r="O24" s="2"/>
    </row>
    <row r="25" spans="2:17" ht="15.75" thickBot="1" x14ac:dyDescent="0.3"/>
    <row r="26" spans="2:17" ht="32.25" thickBot="1" x14ac:dyDescent="0.3">
      <c r="B26" s="3"/>
      <c r="C26" s="165" t="s">
        <v>114</v>
      </c>
      <c r="D26" s="165" t="s">
        <v>115</v>
      </c>
      <c r="E26" s="165" t="s">
        <v>116</v>
      </c>
      <c r="F26" s="165" t="s">
        <v>117</v>
      </c>
      <c r="G26" s="165" t="s">
        <v>118</v>
      </c>
      <c r="H26" s="165" t="s">
        <v>119</v>
      </c>
      <c r="I26" s="165" t="s">
        <v>120</v>
      </c>
      <c r="J26" s="165" t="s">
        <v>121</v>
      </c>
      <c r="K26" s="165" t="s">
        <v>122</v>
      </c>
      <c r="L26" s="165" t="s">
        <v>123</v>
      </c>
      <c r="M26" s="165" t="s">
        <v>124</v>
      </c>
      <c r="N26" s="165" t="s">
        <v>125</v>
      </c>
      <c r="O26" s="4" t="s">
        <v>31</v>
      </c>
      <c r="P26" t="s">
        <v>54</v>
      </c>
      <c r="Q26" t="s">
        <v>55</v>
      </c>
    </row>
    <row r="27" spans="2:17" x14ac:dyDescent="0.25">
      <c r="B27" s="3" t="s">
        <v>89</v>
      </c>
      <c r="C27" s="64">
        <f>+N19</f>
        <v>46</v>
      </c>
      <c r="D27" s="3">
        <f>ROUNDDOWN(+C27*1.1,0)</f>
        <v>50</v>
      </c>
      <c r="E27" s="3">
        <f>ROUNDDOWN(+D27*1.1,0)</f>
        <v>55</v>
      </c>
      <c r="F27" s="3">
        <f t="shared" ref="F27:N27" si="6">ROUNDDOWN(+E27*1.1,0)</f>
        <v>60</v>
      </c>
      <c r="G27" s="3">
        <f t="shared" si="6"/>
        <v>66</v>
      </c>
      <c r="H27" s="3">
        <f t="shared" si="6"/>
        <v>72</v>
      </c>
      <c r="I27" s="3">
        <f t="shared" si="6"/>
        <v>79</v>
      </c>
      <c r="J27" s="3">
        <f t="shared" si="6"/>
        <v>86</v>
      </c>
      <c r="K27" s="3">
        <f t="shared" si="6"/>
        <v>94</v>
      </c>
      <c r="L27" s="3">
        <f t="shared" si="6"/>
        <v>103</v>
      </c>
      <c r="M27" s="3">
        <f t="shared" si="6"/>
        <v>113</v>
      </c>
      <c r="N27" s="3">
        <f t="shared" si="6"/>
        <v>124</v>
      </c>
      <c r="O27" s="6">
        <f>SUM(C27:N27)</f>
        <v>948</v>
      </c>
      <c r="P27" s="29">
        <v>1</v>
      </c>
      <c r="Q27" s="29">
        <v>0</v>
      </c>
    </row>
    <row r="28" spans="2:17" ht="15.75" thickBot="1" x14ac:dyDescent="0.3">
      <c r="B28" s="7"/>
      <c r="C28" s="68">
        <f>+N20</f>
        <v>0</v>
      </c>
      <c r="D28" s="3">
        <f t="shared" ref="D28:N28" si="7">ROUNDDOWN(+C28*1.1,0)</f>
        <v>0</v>
      </c>
      <c r="E28" s="3">
        <f t="shared" si="7"/>
        <v>0</v>
      </c>
      <c r="F28" s="3">
        <f t="shared" si="7"/>
        <v>0</v>
      </c>
      <c r="G28" s="3">
        <f t="shared" si="7"/>
        <v>0</v>
      </c>
      <c r="H28" s="3">
        <f t="shared" si="7"/>
        <v>0</v>
      </c>
      <c r="I28" s="3">
        <f t="shared" si="7"/>
        <v>0</v>
      </c>
      <c r="J28" s="3">
        <f t="shared" si="7"/>
        <v>0</v>
      </c>
      <c r="K28" s="3">
        <f t="shared" si="7"/>
        <v>0</v>
      </c>
      <c r="L28" s="3">
        <f t="shared" si="7"/>
        <v>0</v>
      </c>
      <c r="M28" s="3">
        <f t="shared" si="7"/>
        <v>0</v>
      </c>
      <c r="N28" s="3">
        <f t="shared" si="7"/>
        <v>0</v>
      </c>
      <c r="O28" s="7">
        <f>SUM(D28:N28)</f>
        <v>0</v>
      </c>
    </row>
    <row r="29" spans="2:17" ht="18.75" thickBot="1" x14ac:dyDescent="0.3">
      <c r="B29" s="32" t="s">
        <v>90</v>
      </c>
      <c r="C29" s="69">
        <f>C21+C21*0.1</f>
        <v>385</v>
      </c>
      <c r="D29" s="33">
        <f>+C29</f>
        <v>385</v>
      </c>
      <c r="E29" s="33">
        <f t="shared" ref="E29:N29" si="8">+D29</f>
        <v>385</v>
      </c>
      <c r="F29" s="33">
        <f t="shared" si="8"/>
        <v>385</v>
      </c>
      <c r="G29" s="33">
        <f t="shared" si="8"/>
        <v>385</v>
      </c>
      <c r="H29" s="33">
        <f t="shared" si="8"/>
        <v>385</v>
      </c>
      <c r="I29" s="33">
        <f>ROUND(+H29*1.1,2)</f>
        <v>423.5</v>
      </c>
      <c r="J29" s="33">
        <f t="shared" si="8"/>
        <v>423.5</v>
      </c>
      <c r="K29" s="33">
        <f t="shared" si="8"/>
        <v>423.5</v>
      </c>
      <c r="L29" s="33">
        <f t="shared" si="8"/>
        <v>423.5</v>
      </c>
      <c r="M29" s="33">
        <f t="shared" si="8"/>
        <v>423.5</v>
      </c>
      <c r="N29" s="33">
        <f t="shared" si="8"/>
        <v>423.5</v>
      </c>
      <c r="O29" s="8"/>
    </row>
    <row r="30" spans="2:17" ht="18" x14ac:dyDescent="0.25">
      <c r="B30" s="32" t="s">
        <v>91</v>
      </c>
      <c r="C30" s="69">
        <f>C29*0.4</f>
        <v>154</v>
      </c>
      <c r="D30" s="33">
        <f>+C30</f>
        <v>154</v>
      </c>
      <c r="E30" s="33">
        <f t="shared" ref="E30:N30" si="9">+D30</f>
        <v>154</v>
      </c>
      <c r="F30" s="33">
        <f t="shared" si="9"/>
        <v>154</v>
      </c>
      <c r="G30" s="33">
        <f t="shared" si="9"/>
        <v>154</v>
      </c>
      <c r="H30" s="33">
        <f t="shared" si="9"/>
        <v>154</v>
      </c>
      <c r="I30" s="33">
        <f>ROUND(+H30*1.2,2)</f>
        <v>184.8</v>
      </c>
      <c r="J30" s="33">
        <f t="shared" si="9"/>
        <v>184.8</v>
      </c>
      <c r="K30" s="33">
        <f t="shared" si="9"/>
        <v>184.8</v>
      </c>
      <c r="L30" s="33">
        <f t="shared" si="9"/>
        <v>184.8</v>
      </c>
      <c r="M30" s="33">
        <f t="shared" si="9"/>
        <v>184.8</v>
      </c>
      <c r="N30" s="33">
        <f t="shared" si="9"/>
        <v>184.8</v>
      </c>
      <c r="O30" s="35"/>
    </row>
    <row r="31" spans="2:17" ht="18" x14ac:dyDescent="0.25">
      <c r="B31" s="32"/>
      <c r="C31" s="69">
        <f t="shared" ref="C31:C32" si="10">+N23</f>
        <v>0</v>
      </c>
      <c r="D31" s="34">
        <f>+C31</f>
        <v>0</v>
      </c>
      <c r="E31" s="34">
        <f t="shared" ref="E31:N31" si="11">+D31</f>
        <v>0</v>
      </c>
      <c r="F31" s="34">
        <f t="shared" si="11"/>
        <v>0</v>
      </c>
      <c r="G31" s="34">
        <f t="shared" si="11"/>
        <v>0</v>
      </c>
      <c r="H31" s="34">
        <f t="shared" si="11"/>
        <v>0</v>
      </c>
      <c r="I31" s="33">
        <f>ROUND(+H31*1,2)</f>
        <v>0</v>
      </c>
      <c r="J31" s="34">
        <f t="shared" si="11"/>
        <v>0</v>
      </c>
      <c r="K31" s="34">
        <f t="shared" si="11"/>
        <v>0</v>
      </c>
      <c r="L31" s="34">
        <f t="shared" si="11"/>
        <v>0</v>
      </c>
      <c r="M31" s="34">
        <f t="shared" si="11"/>
        <v>0</v>
      </c>
      <c r="N31" s="34">
        <f t="shared" si="11"/>
        <v>0</v>
      </c>
      <c r="O31" s="35"/>
    </row>
    <row r="32" spans="2:17" x14ac:dyDescent="0.25">
      <c r="B32" s="32"/>
      <c r="C32" s="69">
        <f t="shared" si="10"/>
        <v>0</v>
      </c>
      <c r="D32" s="34">
        <f>+C32</f>
        <v>0</v>
      </c>
      <c r="E32" s="34">
        <f t="shared" ref="E32:N32" si="12">+D32</f>
        <v>0</v>
      </c>
      <c r="F32" s="34">
        <f t="shared" si="12"/>
        <v>0</v>
      </c>
      <c r="G32" s="34">
        <f t="shared" si="12"/>
        <v>0</v>
      </c>
      <c r="H32" s="34">
        <f t="shared" si="12"/>
        <v>0</v>
      </c>
      <c r="I32" s="33">
        <f>ROUND(+H32*1.25,2)</f>
        <v>0</v>
      </c>
      <c r="J32" s="34">
        <f t="shared" si="12"/>
        <v>0</v>
      </c>
      <c r="K32" s="34">
        <f t="shared" si="12"/>
        <v>0</v>
      </c>
      <c r="L32" s="34">
        <f t="shared" si="12"/>
        <v>0</v>
      </c>
      <c r="M32" s="34">
        <f t="shared" si="12"/>
        <v>0</v>
      </c>
      <c r="N32" s="34">
        <f t="shared" si="12"/>
        <v>0</v>
      </c>
    </row>
    <row r="33" spans="2:17" ht="15.75" thickBot="1" x14ac:dyDescent="0.3"/>
    <row r="34" spans="2:17" ht="32.25" thickBot="1" x14ac:dyDescent="0.3">
      <c r="B34" s="3"/>
      <c r="C34" s="165" t="s">
        <v>126</v>
      </c>
      <c r="D34" s="165" t="s">
        <v>127</v>
      </c>
      <c r="E34" s="165" t="s">
        <v>128</v>
      </c>
      <c r="F34" s="165" t="s">
        <v>129</v>
      </c>
      <c r="G34" s="165" t="s">
        <v>130</v>
      </c>
      <c r="H34" s="165" t="s">
        <v>131</v>
      </c>
      <c r="I34" s="165" t="s">
        <v>132</v>
      </c>
      <c r="J34" s="165" t="s">
        <v>133</v>
      </c>
      <c r="K34" s="165" t="s">
        <v>134</v>
      </c>
      <c r="L34" s="165" t="s">
        <v>135</v>
      </c>
      <c r="M34" s="165" t="s">
        <v>136</v>
      </c>
      <c r="N34" s="165" t="s">
        <v>137</v>
      </c>
      <c r="O34" s="4" t="s">
        <v>31</v>
      </c>
      <c r="P34" t="s">
        <v>54</v>
      </c>
      <c r="Q34" t="s">
        <v>55</v>
      </c>
    </row>
    <row r="35" spans="2:17" x14ac:dyDescent="0.25">
      <c r="B35" s="3" t="s">
        <v>89</v>
      </c>
      <c r="C35" s="64">
        <f>+N27</f>
        <v>124</v>
      </c>
      <c r="D35" s="3">
        <f>ROUNDDOWN(+C35*1.1,0)</f>
        <v>136</v>
      </c>
      <c r="E35" s="3">
        <f>ROUNDDOWN(+D35*1.1,0)</f>
        <v>149</v>
      </c>
      <c r="F35" s="3">
        <f t="shared" ref="F35:N35" si="13">ROUNDDOWN(+E35*1.1,0)</f>
        <v>163</v>
      </c>
      <c r="G35" s="3">
        <f t="shared" si="13"/>
        <v>179</v>
      </c>
      <c r="H35" s="3">
        <f t="shared" si="13"/>
        <v>196</v>
      </c>
      <c r="I35" s="3">
        <f t="shared" si="13"/>
        <v>215</v>
      </c>
      <c r="J35" s="3">
        <f t="shared" si="13"/>
        <v>236</v>
      </c>
      <c r="K35" s="3">
        <f t="shared" si="13"/>
        <v>259</v>
      </c>
      <c r="L35" s="3">
        <f t="shared" si="13"/>
        <v>284</v>
      </c>
      <c r="M35" s="3">
        <f t="shared" si="13"/>
        <v>312</v>
      </c>
      <c r="N35" s="3">
        <f t="shared" si="13"/>
        <v>343</v>
      </c>
      <c r="O35" s="6">
        <f>SUM(C35:N35)</f>
        <v>2596</v>
      </c>
      <c r="P35" s="29">
        <v>1</v>
      </c>
      <c r="Q35" s="29">
        <v>0</v>
      </c>
    </row>
    <row r="36" spans="2:17" ht="15.75" thickBot="1" x14ac:dyDescent="0.3">
      <c r="B36" s="7"/>
      <c r="C36" s="68">
        <f>+N28</f>
        <v>0</v>
      </c>
      <c r="D36" s="3">
        <f t="shared" ref="D36:N36" si="14">ROUNDDOWN(+C36*1.1,0)</f>
        <v>0</v>
      </c>
      <c r="E36" s="3">
        <f t="shared" si="14"/>
        <v>0</v>
      </c>
      <c r="F36" s="3">
        <f t="shared" si="14"/>
        <v>0</v>
      </c>
      <c r="G36" s="3">
        <f t="shared" si="14"/>
        <v>0</v>
      </c>
      <c r="H36" s="3">
        <f t="shared" si="14"/>
        <v>0</v>
      </c>
      <c r="I36" s="3">
        <f t="shared" si="14"/>
        <v>0</v>
      </c>
      <c r="J36" s="3">
        <f t="shared" si="14"/>
        <v>0</v>
      </c>
      <c r="K36" s="3">
        <f t="shared" si="14"/>
        <v>0</v>
      </c>
      <c r="L36" s="3">
        <f t="shared" si="14"/>
        <v>0</v>
      </c>
      <c r="M36" s="3">
        <f t="shared" si="14"/>
        <v>0</v>
      </c>
      <c r="N36" s="3">
        <f t="shared" si="14"/>
        <v>0</v>
      </c>
      <c r="O36" s="7">
        <f>SUM(D36:N36)</f>
        <v>0</v>
      </c>
    </row>
    <row r="37" spans="2:17" ht="18.75" thickBot="1" x14ac:dyDescent="0.3">
      <c r="B37" s="32" t="s">
        <v>90</v>
      </c>
      <c r="C37" s="69">
        <f>C21+C21*0.1</f>
        <v>385</v>
      </c>
      <c r="D37" s="33">
        <f>+C37</f>
        <v>385</v>
      </c>
      <c r="E37" s="33">
        <f t="shared" ref="E37:N37" si="15">+D37</f>
        <v>385</v>
      </c>
      <c r="F37" s="33">
        <f t="shared" si="15"/>
        <v>385</v>
      </c>
      <c r="G37" s="33">
        <f t="shared" si="15"/>
        <v>385</v>
      </c>
      <c r="H37" s="33">
        <f t="shared" si="15"/>
        <v>385</v>
      </c>
      <c r="I37" s="33">
        <f t="shared" si="15"/>
        <v>385</v>
      </c>
      <c r="J37" s="33">
        <f t="shared" si="15"/>
        <v>385</v>
      </c>
      <c r="K37" s="33">
        <f t="shared" si="15"/>
        <v>385</v>
      </c>
      <c r="L37" s="33">
        <f>ROUND(+K37*1.09,2)</f>
        <v>419.65</v>
      </c>
      <c r="M37" s="33">
        <f t="shared" si="15"/>
        <v>419.65</v>
      </c>
      <c r="N37" s="33">
        <f t="shared" si="15"/>
        <v>419.65</v>
      </c>
      <c r="O37" s="8"/>
    </row>
    <row r="38" spans="2:17" ht="18" x14ac:dyDescent="0.25">
      <c r="B38" s="32" t="s">
        <v>91</v>
      </c>
      <c r="C38" s="69">
        <f>C37*0.4</f>
        <v>154</v>
      </c>
      <c r="D38" s="33">
        <f>+C38</f>
        <v>154</v>
      </c>
      <c r="E38" s="33">
        <f t="shared" ref="E38:N38" si="16">+D38</f>
        <v>154</v>
      </c>
      <c r="F38" s="33">
        <f t="shared" si="16"/>
        <v>154</v>
      </c>
      <c r="G38" s="33">
        <f t="shared" si="16"/>
        <v>154</v>
      </c>
      <c r="H38" s="33">
        <f t="shared" si="16"/>
        <v>154</v>
      </c>
      <c r="I38" s="33">
        <f t="shared" si="16"/>
        <v>154</v>
      </c>
      <c r="J38" s="33">
        <f t="shared" si="16"/>
        <v>154</v>
      </c>
      <c r="K38" s="33">
        <f t="shared" si="16"/>
        <v>154</v>
      </c>
      <c r="L38" s="33">
        <f>ROUND(+K38*1.11,2)</f>
        <v>170.94</v>
      </c>
      <c r="M38" s="33">
        <f t="shared" si="16"/>
        <v>170.94</v>
      </c>
      <c r="N38" s="33">
        <f t="shared" si="16"/>
        <v>170.94</v>
      </c>
      <c r="O38" s="35"/>
    </row>
    <row r="39" spans="2:17" ht="18" x14ac:dyDescent="0.25">
      <c r="B39" s="32"/>
      <c r="C39" s="69">
        <f t="shared" ref="C39:C40" si="17">+N31</f>
        <v>0</v>
      </c>
      <c r="D39" s="34">
        <f>+C39</f>
        <v>0</v>
      </c>
      <c r="E39" s="34">
        <f t="shared" ref="E39:N39" si="18">+D39</f>
        <v>0</v>
      </c>
      <c r="F39" s="34">
        <f t="shared" si="18"/>
        <v>0</v>
      </c>
      <c r="G39" s="34">
        <f t="shared" si="18"/>
        <v>0</v>
      </c>
      <c r="H39" s="34">
        <f t="shared" si="18"/>
        <v>0</v>
      </c>
      <c r="I39" s="34">
        <f t="shared" si="18"/>
        <v>0</v>
      </c>
      <c r="J39" s="34">
        <f t="shared" si="18"/>
        <v>0</v>
      </c>
      <c r="K39" s="34">
        <f t="shared" si="18"/>
        <v>0</v>
      </c>
      <c r="L39" s="33">
        <f>ROUND(+K39*1.25,2)</f>
        <v>0</v>
      </c>
      <c r="M39" s="34">
        <f t="shared" si="18"/>
        <v>0</v>
      </c>
      <c r="N39" s="34">
        <f t="shared" si="18"/>
        <v>0</v>
      </c>
      <c r="O39" s="35"/>
    </row>
    <row r="40" spans="2:17" x14ac:dyDescent="0.25">
      <c r="B40" s="32"/>
      <c r="C40" s="69">
        <f t="shared" si="17"/>
        <v>0</v>
      </c>
      <c r="D40" s="34">
        <f>+C40</f>
        <v>0</v>
      </c>
      <c r="E40" s="34">
        <f t="shared" ref="E40:N40" si="19">+D40</f>
        <v>0</v>
      </c>
      <c r="F40" s="34">
        <f t="shared" si="19"/>
        <v>0</v>
      </c>
      <c r="G40" s="34">
        <f t="shared" si="19"/>
        <v>0</v>
      </c>
      <c r="H40" s="34">
        <f t="shared" si="19"/>
        <v>0</v>
      </c>
      <c r="I40" s="34">
        <f t="shared" si="19"/>
        <v>0</v>
      </c>
      <c r="J40" s="34">
        <f t="shared" si="19"/>
        <v>0</v>
      </c>
      <c r="K40" s="34">
        <f t="shared" si="19"/>
        <v>0</v>
      </c>
      <c r="L40" s="33">
        <f>ROUND(+K40*1.25,2)</f>
        <v>0</v>
      </c>
      <c r="M40" s="34">
        <f t="shared" si="19"/>
        <v>0</v>
      </c>
      <c r="N40" s="34">
        <f t="shared" si="19"/>
        <v>0</v>
      </c>
    </row>
    <row r="41" spans="2:17" ht="15.75" thickBot="1" x14ac:dyDescent="0.3"/>
    <row r="42" spans="2:17" ht="32.25" thickBot="1" x14ac:dyDescent="0.3">
      <c r="B42" s="3"/>
      <c r="C42" s="165" t="s">
        <v>138</v>
      </c>
      <c r="D42" s="165" t="s">
        <v>139</v>
      </c>
      <c r="E42" s="165" t="s">
        <v>140</v>
      </c>
      <c r="F42" s="165" t="s">
        <v>141</v>
      </c>
      <c r="G42" s="165" t="s">
        <v>142</v>
      </c>
      <c r="H42" s="165" t="s">
        <v>143</v>
      </c>
      <c r="I42" s="165" t="s">
        <v>144</v>
      </c>
      <c r="J42" s="165" t="s">
        <v>145</v>
      </c>
      <c r="K42" s="165" t="s">
        <v>146</v>
      </c>
      <c r="L42" s="165" t="s">
        <v>147</v>
      </c>
      <c r="M42" s="165" t="s">
        <v>148</v>
      </c>
      <c r="N42" s="165" t="s">
        <v>149</v>
      </c>
      <c r="O42" s="4" t="s">
        <v>31</v>
      </c>
      <c r="P42" t="s">
        <v>54</v>
      </c>
      <c r="Q42" t="s">
        <v>55</v>
      </c>
    </row>
    <row r="43" spans="2:17" x14ac:dyDescent="0.25">
      <c r="B43" s="3" t="s">
        <v>89</v>
      </c>
      <c r="C43" s="64">
        <f>+N35</f>
        <v>343</v>
      </c>
      <c r="D43" s="3">
        <f>ROUNDDOWN(+C43*1.1,0)</f>
        <v>377</v>
      </c>
      <c r="E43" s="3">
        <v>400</v>
      </c>
      <c r="F43" s="3">
        <v>400</v>
      </c>
      <c r="G43" s="3">
        <v>400</v>
      </c>
      <c r="H43" s="3">
        <v>400</v>
      </c>
      <c r="I43" s="3">
        <v>400</v>
      </c>
      <c r="J43" s="3">
        <v>400</v>
      </c>
      <c r="K43" s="3">
        <v>400</v>
      </c>
      <c r="L43" s="3">
        <v>400</v>
      </c>
      <c r="M43" s="3">
        <v>400</v>
      </c>
      <c r="N43" s="3">
        <v>400</v>
      </c>
      <c r="O43" s="6">
        <f>SUM(C43:N43)</f>
        <v>4720</v>
      </c>
      <c r="P43" s="29">
        <v>1</v>
      </c>
      <c r="Q43" s="29">
        <v>0</v>
      </c>
    </row>
    <row r="44" spans="2:17" ht="15.75" thickBot="1" x14ac:dyDescent="0.3">
      <c r="B44" s="7"/>
      <c r="C44" s="68">
        <f>+N36</f>
        <v>0</v>
      </c>
      <c r="D44" s="3">
        <f t="shared" ref="D44:G44" si="20">ROUNDDOWN(+C44*1.1,0)</f>
        <v>0</v>
      </c>
      <c r="E44" s="3">
        <f t="shared" si="20"/>
        <v>0</v>
      </c>
      <c r="F44" s="3">
        <f t="shared" si="20"/>
        <v>0</v>
      </c>
      <c r="G44" s="3">
        <f t="shared" si="20"/>
        <v>0</v>
      </c>
      <c r="H44" s="3">
        <f>+G44</f>
        <v>0</v>
      </c>
      <c r="I44" s="3">
        <f t="shared" ref="I44:N44" si="21">+H44</f>
        <v>0</v>
      </c>
      <c r="J44" s="3">
        <f t="shared" si="21"/>
        <v>0</v>
      </c>
      <c r="K44" s="3">
        <f t="shared" si="21"/>
        <v>0</v>
      </c>
      <c r="L44" s="3">
        <f t="shared" si="21"/>
        <v>0</v>
      </c>
      <c r="M44" s="3">
        <f t="shared" si="21"/>
        <v>0</v>
      </c>
      <c r="N44" s="3">
        <f t="shared" si="21"/>
        <v>0</v>
      </c>
      <c r="O44" s="7">
        <f>SUM(D44:N44)</f>
        <v>0</v>
      </c>
    </row>
    <row r="45" spans="2:17" ht="18.75" thickBot="1" x14ac:dyDescent="0.3">
      <c r="B45" s="32" t="s">
        <v>90</v>
      </c>
      <c r="C45" s="69">
        <f>C37+C37*0.1</f>
        <v>423.5</v>
      </c>
      <c r="D45" s="33">
        <f>+C45</f>
        <v>423.5</v>
      </c>
      <c r="E45" s="33">
        <f t="shared" ref="E45:N45" si="22">+D45</f>
        <v>423.5</v>
      </c>
      <c r="F45" s="33">
        <f t="shared" si="22"/>
        <v>423.5</v>
      </c>
      <c r="G45" s="33">
        <f t="shared" si="22"/>
        <v>423.5</v>
      </c>
      <c r="H45" s="33">
        <f>ROUND(+G45*1.084,2)</f>
        <v>459.07</v>
      </c>
      <c r="I45" s="33">
        <f t="shared" si="22"/>
        <v>459.07</v>
      </c>
      <c r="J45" s="33">
        <f t="shared" si="22"/>
        <v>459.07</v>
      </c>
      <c r="K45" s="33">
        <f t="shared" si="22"/>
        <v>459.07</v>
      </c>
      <c r="L45" s="33">
        <f t="shared" si="22"/>
        <v>459.07</v>
      </c>
      <c r="M45" s="33">
        <f t="shared" si="22"/>
        <v>459.07</v>
      </c>
      <c r="N45" s="33">
        <f t="shared" si="22"/>
        <v>459.07</v>
      </c>
      <c r="O45" s="8"/>
    </row>
    <row r="46" spans="2:17" ht="18" x14ac:dyDescent="0.25">
      <c r="B46" s="32" t="s">
        <v>91</v>
      </c>
      <c r="C46" s="69">
        <f>C45*0.4</f>
        <v>169.4</v>
      </c>
      <c r="D46" s="33">
        <f>+C46</f>
        <v>169.4</v>
      </c>
      <c r="E46" s="33">
        <f t="shared" ref="E46:N46" si="23">+D46</f>
        <v>169.4</v>
      </c>
      <c r="F46" s="33">
        <f t="shared" si="23"/>
        <v>169.4</v>
      </c>
      <c r="G46" s="33">
        <f t="shared" si="23"/>
        <v>169.4</v>
      </c>
      <c r="H46" s="33">
        <f>ROUND(+G46*1.15,2)</f>
        <v>194.81</v>
      </c>
      <c r="I46" s="33">
        <f t="shared" si="23"/>
        <v>194.81</v>
      </c>
      <c r="J46" s="33">
        <f t="shared" si="23"/>
        <v>194.81</v>
      </c>
      <c r="K46" s="33">
        <f t="shared" si="23"/>
        <v>194.81</v>
      </c>
      <c r="L46" s="33">
        <f t="shared" si="23"/>
        <v>194.81</v>
      </c>
      <c r="M46" s="33">
        <f t="shared" si="23"/>
        <v>194.81</v>
      </c>
      <c r="N46" s="33">
        <f t="shared" si="23"/>
        <v>194.81</v>
      </c>
      <c r="O46" s="35"/>
    </row>
    <row r="47" spans="2:17" ht="18" x14ac:dyDescent="0.25">
      <c r="B47" s="32"/>
      <c r="C47" s="69">
        <f t="shared" ref="C47:C48" si="24">+N39</f>
        <v>0</v>
      </c>
      <c r="D47" s="34">
        <f>+C47</f>
        <v>0</v>
      </c>
      <c r="E47" s="34">
        <f t="shared" ref="E47:N47" si="25">+D47</f>
        <v>0</v>
      </c>
      <c r="F47" s="34">
        <f t="shared" si="25"/>
        <v>0</v>
      </c>
      <c r="G47" s="34">
        <f t="shared" si="25"/>
        <v>0</v>
      </c>
      <c r="H47" s="33">
        <f>ROUND(+G47*1,2)</f>
        <v>0</v>
      </c>
      <c r="I47" s="34">
        <f t="shared" si="25"/>
        <v>0</v>
      </c>
      <c r="J47" s="34">
        <f t="shared" si="25"/>
        <v>0</v>
      </c>
      <c r="K47" s="34">
        <f t="shared" si="25"/>
        <v>0</v>
      </c>
      <c r="L47" s="34">
        <f t="shared" si="25"/>
        <v>0</v>
      </c>
      <c r="M47" s="34">
        <f t="shared" si="25"/>
        <v>0</v>
      </c>
      <c r="N47" s="34">
        <f t="shared" si="25"/>
        <v>0</v>
      </c>
      <c r="O47" s="35"/>
    </row>
    <row r="48" spans="2:17" x14ac:dyDescent="0.25">
      <c r="B48" s="32"/>
      <c r="C48" s="69">
        <f t="shared" si="24"/>
        <v>0</v>
      </c>
      <c r="D48" s="34">
        <f>+C48</f>
        <v>0</v>
      </c>
      <c r="E48" s="34">
        <f t="shared" ref="E48:N48" si="26">+D48</f>
        <v>0</v>
      </c>
      <c r="F48" s="34">
        <f t="shared" si="26"/>
        <v>0</v>
      </c>
      <c r="G48" s="34">
        <f t="shared" si="26"/>
        <v>0</v>
      </c>
      <c r="H48" s="33">
        <f>ROUND(+G48*1.1,2)</f>
        <v>0</v>
      </c>
      <c r="I48" s="34">
        <f t="shared" si="26"/>
        <v>0</v>
      </c>
      <c r="J48" s="34">
        <f t="shared" si="26"/>
        <v>0</v>
      </c>
      <c r="K48" s="34">
        <f t="shared" si="26"/>
        <v>0</v>
      </c>
      <c r="L48" s="34">
        <f t="shared" si="26"/>
        <v>0</v>
      </c>
      <c r="M48" s="34">
        <f t="shared" si="26"/>
        <v>0</v>
      </c>
      <c r="N48" s="34">
        <f t="shared" si="26"/>
        <v>0</v>
      </c>
    </row>
    <row r="49" spans="2:17" ht="15.75" thickBot="1" x14ac:dyDescent="0.3"/>
    <row r="50" spans="2:17" ht="32.25" thickBot="1" x14ac:dyDescent="0.3">
      <c r="B50" s="3"/>
      <c r="C50" s="165" t="s">
        <v>150</v>
      </c>
      <c r="D50" s="165" t="s">
        <v>151</v>
      </c>
      <c r="E50" s="165" t="s">
        <v>152</v>
      </c>
      <c r="F50" s="165" t="s">
        <v>153</v>
      </c>
      <c r="G50" s="165" t="s">
        <v>154</v>
      </c>
      <c r="H50" s="165" t="s">
        <v>155</v>
      </c>
      <c r="I50" s="165" t="s">
        <v>156</v>
      </c>
      <c r="J50" s="165" t="s">
        <v>157</v>
      </c>
      <c r="K50" s="165" t="s">
        <v>158</v>
      </c>
      <c r="L50" s="165" t="s">
        <v>159</v>
      </c>
      <c r="M50" s="165" t="s">
        <v>160</v>
      </c>
      <c r="N50" s="165" t="s">
        <v>161</v>
      </c>
      <c r="O50" s="4" t="s">
        <v>31</v>
      </c>
      <c r="P50" t="s">
        <v>54</v>
      </c>
      <c r="Q50" t="s">
        <v>55</v>
      </c>
    </row>
    <row r="51" spans="2:17" x14ac:dyDescent="0.25">
      <c r="B51" s="3" t="s">
        <v>89</v>
      </c>
      <c r="C51" s="64">
        <f>+N43</f>
        <v>400</v>
      </c>
      <c r="D51" s="3">
        <f>+C51</f>
        <v>400</v>
      </c>
      <c r="E51" s="3">
        <f>+D51</f>
        <v>400</v>
      </c>
      <c r="F51" s="3">
        <f t="shared" ref="F51:N51" si="27">+E51</f>
        <v>400</v>
      </c>
      <c r="G51" s="3">
        <f t="shared" si="27"/>
        <v>400</v>
      </c>
      <c r="H51" s="3">
        <f t="shared" si="27"/>
        <v>400</v>
      </c>
      <c r="I51" s="3">
        <f t="shared" si="27"/>
        <v>400</v>
      </c>
      <c r="J51" s="3">
        <f t="shared" si="27"/>
        <v>400</v>
      </c>
      <c r="K51" s="3">
        <f t="shared" si="27"/>
        <v>400</v>
      </c>
      <c r="L51" s="3">
        <f t="shared" si="27"/>
        <v>400</v>
      </c>
      <c r="M51" s="3">
        <f t="shared" si="27"/>
        <v>400</v>
      </c>
      <c r="N51" s="3">
        <f t="shared" si="27"/>
        <v>400</v>
      </c>
      <c r="O51" s="6">
        <f>SUM(C51:N51)</f>
        <v>4800</v>
      </c>
      <c r="P51" s="29">
        <v>1</v>
      </c>
      <c r="Q51" s="29">
        <v>0</v>
      </c>
    </row>
    <row r="52" spans="2:17" ht="15.75" thickBot="1" x14ac:dyDescent="0.3">
      <c r="B52" s="7"/>
      <c r="C52" s="64">
        <f>+N44</f>
        <v>0</v>
      </c>
      <c r="D52" s="3">
        <f t="shared" ref="D52:D56" si="28">+C52</f>
        <v>0</v>
      </c>
      <c r="E52" s="3">
        <f t="shared" ref="E52:N52" si="29">+D52</f>
        <v>0</v>
      </c>
      <c r="F52" s="3">
        <f t="shared" si="29"/>
        <v>0</v>
      </c>
      <c r="G52" s="3">
        <f t="shared" si="29"/>
        <v>0</v>
      </c>
      <c r="H52" s="3">
        <f t="shared" si="29"/>
        <v>0</v>
      </c>
      <c r="I52" s="3">
        <f t="shared" si="29"/>
        <v>0</v>
      </c>
      <c r="J52" s="3">
        <f t="shared" si="29"/>
        <v>0</v>
      </c>
      <c r="K52" s="3">
        <f t="shared" si="29"/>
        <v>0</v>
      </c>
      <c r="L52" s="3">
        <f t="shared" si="29"/>
        <v>0</v>
      </c>
      <c r="M52" s="3">
        <f t="shared" si="29"/>
        <v>0</v>
      </c>
      <c r="N52" s="3">
        <f t="shared" si="29"/>
        <v>0</v>
      </c>
      <c r="O52" s="7">
        <f>SUM(D52:N52)</f>
        <v>0</v>
      </c>
    </row>
    <row r="53" spans="2:17" ht="18.75" thickBot="1" x14ac:dyDescent="0.3">
      <c r="B53" s="32" t="s">
        <v>90</v>
      </c>
      <c r="C53" s="69">
        <f>C45+C45*0.1</f>
        <v>465.85</v>
      </c>
      <c r="D53" s="33">
        <f t="shared" si="28"/>
        <v>465.85</v>
      </c>
      <c r="E53" s="33">
        <f t="shared" ref="E53:N53" si="30">+D53</f>
        <v>465.85</v>
      </c>
      <c r="F53" s="33">
        <f>ROUND(+E53*1.07666,2)</f>
        <v>501.56</v>
      </c>
      <c r="G53" s="33">
        <f t="shared" si="30"/>
        <v>501.56</v>
      </c>
      <c r="H53" s="33">
        <f t="shared" si="30"/>
        <v>501.56</v>
      </c>
      <c r="I53" s="33">
        <f t="shared" si="30"/>
        <v>501.56</v>
      </c>
      <c r="J53" s="33">
        <f t="shared" si="30"/>
        <v>501.56</v>
      </c>
      <c r="K53" s="33">
        <f t="shared" si="30"/>
        <v>501.56</v>
      </c>
      <c r="L53" s="33">
        <f t="shared" si="30"/>
        <v>501.56</v>
      </c>
      <c r="M53" s="33">
        <f t="shared" si="30"/>
        <v>501.56</v>
      </c>
      <c r="N53" s="33">
        <f t="shared" si="30"/>
        <v>501.56</v>
      </c>
      <c r="O53" s="8"/>
    </row>
    <row r="54" spans="2:17" x14ac:dyDescent="0.25">
      <c r="B54" s="32" t="s">
        <v>91</v>
      </c>
      <c r="C54" s="69">
        <f>C53*0.4</f>
        <v>186.34000000000003</v>
      </c>
      <c r="D54" s="33">
        <f t="shared" si="28"/>
        <v>186.34000000000003</v>
      </c>
      <c r="E54" s="33">
        <f t="shared" ref="E54:N54" si="31">+D54</f>
        <v>186.34000000000003</v>
      </c>
      <c r="F54" s="33">
        <f>ROUND(+E54*1.05,2)</f>
        <v>195.66</v>
      </c>
      <c r="G54" s="33">
        <f t="shared" si="31"/>
        <v>195.66</v>
      </c>
      <c r="H54" s="33">
        <f t="shared" si="31"/>
        <v>195.66</v>
      </c>
      <c r="I54" s="33">
        <f t="shared" si="31"/>
        <v>195.66</v>
      </c>
      <c r="J54" s="33">
        <f t="shared" si="31"/>
        <v>195.66</v>
      </c>
      <c r="K54" s="33">
        <f t="shared" si="31"/>
        <v>195.66</v>
      </c>
      <c r="L54" s="33">
        <f t="shared" si="31"/>
        <v>195.66</v>
      </c>
      <c r="M54" s="33">
        <f t="shared" si="31"/>
        <v>195.66</v>
      </c>
      <c r="N54" s="33">
        <f t="shared" si="31"/>
        <v>195.66</v>
      </c>
    </row>
    <row r="55" spans="2:17" x14ac:dyDescent="0.25">
      <c r="B55" s="32"/>
      <c r="C55" s="69">
        <f t="shared" ref="C55:C56" si="32">+N47</f>
        <v>0</v>
      </c>
      <c r="D55" s="34">
        <f t="shared" si="28"/>
        <v>0</v>
      </c>
      <c r="E55" s="34">
        <f t="shared" ref="E55:N55" si="33">+D55</f>
        <v>0</v>
      </c>
      <c r="F55" s="33">
        <f>ROUND(+E55*1,2)</f>
        <v>0</v>
      </c>
      <c r="G55" s="34">
        <f t="shared" si="33"/>
        <v>0</v>
      </c>
      <c r="H55" s="34">
        <f t="shared" si="33"/>
        <v>0</v>
      </c>
      <c r="I55" s="34">
        <f t="shared" si="33"/>
        <v>0</v>
      </c>
      <c r="J55" s="34">
        <f t="shared" si="33"/>
        <v>0</v>
      </c>
      <c r="K55" s="34">
        <f t="shared" si="33"/>
        <v>0</v>
      </c>
      <c r="L55" s="34">
        <f t="shared" si="33"/>
        <v>0</v>
      </c>
      <c r="M55" s="34">
        <f t="shared" si="33"/>
        <v>0</v>
      </c>
      <c r="N55" s="34">
        <f t="shared" si="33"/>
        <v>0</v>
      </c>
    </row>
    <row r="56" spans="2:17" x14ac:dyDescent="0.25">
      <c r="B56" s="32"/>
      <c r="C56" s="69">
        <f t="shared" si="32"/>
        <v>0</v>
      </c>
      <c r="D56" s="34">
        <f t="shared" si="28"/>
        <v>0</v>
      </c>
      <c r="E56" s="34">
        <f t="shared" ref="E56:N56" si="34">+D56</f>
        <v>0</v>
      </c>
      <c r="F56" s="33">
        <f>ROUND(+E56*1.1,2)</f>
        <v>0</v>
      </c>
      <c r="G56" s="34">
        <f t="shared" si="34"/>
        <v>0</v>
      </c>
      <c r="H56" s="34">
        <f t="shared" si="34"/>
        <v>0</v>
      </c>
      <c r="I56" s="34">
        <f t="shared" si="34"/>
        <v>0</v>
      </c>
      <c r="J56" s="34">
        <f t="shared" si="34"/>
        <v>0</v>
      </c>
      <c r="K56" s="34">
        <f t="shared" si="34"/>
        <v>0</v>
      </c>
      <c r="L56" s="34">
        <f t="shared" si="34"/>
        <v>0</v>
      </c>
      <c r="M56" s="34">
        <f t="shared" si="34"/>
        <v>0</v>
      </c>
      <c r="N56" s="34">
        <f t="shared" si="34"/>
        <v>0</v>
      </c>
    </row>
  </sheetData>
  <mergeCells count="1">
    <mergeCell ref="E6:H6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7"/>
  <sheetViews>
    <sheetView showGridLines="0" tabSelected="1" workbookViewId="0">
      <selection activeCell="D24" sqref="D24"/>
    </sheetView>
  </sheetViews>
  <sheetFormatPr defaultRowHeight="15" x14ac:dyDescent="0.25"/>
  <cols>
    <col min="1" max="1" width="47.5703125" customWidth="1"/>
    <col min="2" max="2" width="25.5703125" customWidth="1"/>
    <col min="4" max="4" width="35.85546875" bestFit="1" customWidth="1"/>
    <col min="5" max="5" width="14.7109375" customWidth="1"/>
    <col min="7" max="7" width="35.85546875" bestFit="1" customWidth="1"/>
    <col min="8" max="8" width="16.42578125" customWidth="1"/>
    <col min="10" max="10" width="35.85546875" bestFit="1" customWidth="1"/>
    <col min="11" max="11" width="17" customWidth="1"/>
    <col min="13" max="13" width="35.85546875" bestFit="1" customWidth="1"/>
    <col min="14" max="14" width="17.42578125" customWidth="1"/>
  </cols>
  <sheetData>
    <row r="1" spans="1:14" x14ac:dyDescent="0.25">
      <c r="B1" s="143">
        <f>'Investimento Inicial'!B20</f>
        <v>251851.38</v>
      </c>
    </row>
    <row r="2" spans="1:14" s="144" customFormat="1" ht="18.75" customHeight="1" thickBot="1" x14ac:dyDescent="0.3">
      <c r="A2" s="200" t="s">
        <v>100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</row>
    <row r="3" spans="1:14" ht="16.5" thickBot="1" x14ac:dyDescent="0.3">
      <c r="A3" s="201">
        <v>2023</v>
      </c>
      <c r="B3" s="202"/>
      <c r="C3" s="13"/>
      <c r="D3" s="201">
        <v>2024</v>
      </c>
      <c r="E3" s="202"/>
      <c r="F3" s="13"/>
      <c r="G3" s="201">
        <v>2025</v>
      </c>
      <c r="H3" s="202"/>
      <c r="I3" s="13"/>
      <c r="J3" s="201">
        <v>2026</v>
      </c>
      <c r="K3" s="202"/>
      <c r="M3" s="201">
        <v>2027</v>
      </c>
      <c r="N3" s="202"/>
    </row>
    <row r="4" spans="1:14" ht="16.5" thickBot="1" x14ac:dyDescent="0.3">
      <c r="A4" s="15" t="s">
        <v>38</v>
      </c>
      <c r="B4" s="16">
        <f>+'FLUXO DE CAIXA'!P5</f>
        <v>121100</v>
      </c>
      <c r="C4" s="13"/>
      <c r="D4" s="15" t="s">
        <v>38</v>
      </c>
      <c r="E4" s="16">
        <f>'FLUXO DE CAIXA'!P26</f>
        <v>388041.5</v>
      </c>
      <c r="F4" s="13"/>
      <c r="G4" s="15" t="s">
        <v>38</v>
      </c>
      <c r="H4" s="16">
        <f>'FLUXO DE CAIXA'!P47</f>
        <v>1031996.3499999999</v>
      </c>
      <c r="I4" s="13"/>
      <c r="J4" s="15" t="s">
        <v>38</v>
      </c>
      <c r="K4" s="16">
        <f>'FLUXO DE CAIXA'!P68</f>
        <v>2098516</v>
      </c>
      <c r="M4" s="15" t="s">
        <v>38</v>
      </c>
      <c r="N4" s="16">
        <f>'FLUXO DE CAIXA'!P89</f>
        <v>2364636</v>
      </c>
    </row>
    <row r="5" spans="1:14" ht="16.5" thickBot="1" x14ac:dyDescent="0.3">
      <c r="A5" s="14" t="s">
        <v>39</v>
      </c>
      <c r="B5" s="17">
        <f>'FLUXO DE CAIXA'!O14</f>
        <v>6300</v>
      </c>
      <c r="C5" s="13"/>
      <c r="D5" s="14" t="s">
        <v>39</v>
      </c>
      <c r="E5" s="17">
        <f>'FLUXO DE CAIXA'!O35</f>
        <v>23282.49</v>
      </c>
      <c r="F5" s="13"/>
      <c r="G5" s="14" t="s">
        <v>39</v>
      </c>
      <c r="H5" s="17">
        <f>'FLUXO DE CAIXA'!O56</f>
        <v>61919.780999999988</v>
      </c>
      <c r="I5" s="13"/>
      <c r="J5" s="14" t="s">
        <v>39</v>
      </c>
      <c r="K5" s="17">
        <f>'FLUXO DE CAIXA'!O77</f>
        <v>335762.56</v>
      </c>
      <c r="M5" s="14" t="s">
        <v>39</v>
      </c>
      <c r="N5" s="17">
        <f>'FLUXO DE CAIXA'!O98</f>
        <v>378341.76000000007</v>
      </c>
    </row>
    <row r="6" spans="1:14" ht="16.5" thickBot="1" x14ac:dyDescent="0.3">
      <c r="A6" s="18" t="s">
        <v>33</v>
      </c>
      <c r="B6" s="19">
        <f>+B4-B5</f>
        <v>114800</v>
      </c>
      <c r="C6" s="13"/>
      <c r="D6" s="18" t="s">
        <v>33</v>
      </c>
      <c r="E6" s="19">
        <f>+E4-E5</f>
        <v>364759.01</v>
      </c>
      <c r="F6" s="13"/>
      <c r="G6" s="18" t="s">
        <v>33</v>
      </c>
      <c r="H6" s="19">
        <f>+H4-H5</f>
        <v>970076.5689999999</v>
      </c>
      <c r="I6" s="13"/>
      <c r="J6" s="18" t="s">
        <v>33</v>
      </c>
      <c r="K6" s="19">
        <f>+K4-K5</f>
        <v>1762753.44</v>
      </c>
      <c r="M6" s="18" t="s">
        <v>33</v>
      </c>
      <c r="N6" s="19">
        <f>+N4-N5</f>
        <v>1986294.24</v>
      </c>
    </row>
    <row r="7" spans="1:14" ht="16.5" thickBot="1" x14ac:dyDescent="0.3">
      <c r="A7" s="14" t="s">
        <v>34</v>
      </c>
      <c r="B7" s="17">
        <f>+'FLUXO DE CAIXA'!P13</f>
        <v>48440</v>
      </c>
      <c r="C7" s="13"/>
      <c r="D7" s="14" t="s">
        <v>34</v>
      </c>
      <c r="E7" s="17">
        <f>'FLUXO DE CAIXA'!P34</f>
        <v>170881.2</v>
      </c>
      <c r="F7" s="13"/>
      <c r="G7" s="14" t="s">
        <v>34</v>
      </c>
      <c r="H7" s="17">
        <f>'FLUXO DE CAIXA'!P55</f>
        <v>438605.86000000004</v>
      </c>
      <c r="I7" s="13"/>
      <c r="J7" s="14" t="s">
        <v>34</v>
      </c>
      <c r="K7" s="17">
        <f>'FLUXO DE CAIXA'!P76</f>
        <v>929348.41999999993</v>
      </c>
      <c r="M7" s="14" t="s">
        <v>34</v>
      </c>
      <c r="N7" s="17">
        <f>'FLUXO DE CAIXA'!P97</f>
        <v>927644</v>
      </c>
    </row>
    <row r="8" spans="1:14" ht="16.5" thickBot="1" x14ac:dyDescent="0.3">
      <c r="A8" s="18" t="s">
        <v>60</v>
      </c>
      <c r="B8" s="20">
        <f>+B6-B7</f>
        <v>66360</v>
      </c>
      <c r="C8" s="13"/>
      <c r="D8" s="18" t="s">
        <v>60</v>
      </c>
      <c r="E8" s="20">
        <f>+E6-E7</f>
        <v>193877.81</v>
      </c>
      <c r="F8" s="13"/>
      <c r="G8" s="18" t="s">
        <v>60</v>
      </c>
      <c r="H8" s="20">
        <f>+H6-H7</f>
        <v>531470.7089999998</v>
      </c>
      <c r="I8" s="13"/>
      <c r="J8" s="18" t="s">
        <v>60</v>
      </c>
      <c r="K8" s="20">
        <f>+K6-K7</f>
        <v>833405.02</v>
      </c>
      <c r="M8" s="18" t="s">
        <v>60</v>
      </c>
      <c r="N8" s="20">
        <f>+N6-N7</f>
        <v>1058650.24</v>
      </c>
    </row>
    <row r="9" spans="1:14" ht="16.5" thickBot="1" x14ac:dyDescent="0.3">
      <c r="A9" s="14" t="s">
        <v>35</v>
      </c>
      <c r="B9" s="17">
        <f>'FLUXO DE CAIXA'!P18</f>
        <v>251496</v>
      </c>
      <c r="C9" s="13"/>
      <c r="D9" s="14" t="s">
        <v>35</v>
      </c>
      <c r="E9" s="17">
        <f>'FLUXO DE CAIXA'!P39</f>
        <v>271127.2</v>
      </c>
      <c r="F9" s="13"/>
      <c r="G9" s="14" t="s">
        <v>35</v>
      </c>
      <c r="H9" s="17">
        <f>'FLUXO DE CAIXA'!P60</f>
        <v>364307.55599999998</v>
      </c>
      <c r="I9" s="13"/>
      <c r="J9" s="14" t="s">
        <v>35</v>
      </c>
      <c r="K9" s="17">
        <f>'FLUXO DE CAIXA'!P81</f>
        <v>398031.95489999995</v>
      </c>
      <c r="M9" s="14" t="s">
        <v>35</v>
      </c>
      <c r="N9" s="17">
        <f>'FLUXO DE CAIXA'!P102</f>
        <v>440046.56674349995</v>
      </c>
    </row>
    <row r="10" spans="1:14" ht="16.5" thickBot="1" x14ac:dyDescent="0.3">
      <c r="A10" s="18" t="s">
        <v>61</v>
      </c>
      <c r="B10" s="19">
        <f>+B8-B9</f>
        <v>-185136</v>
      </c>
      <c r="C10" s="13"/>
      <c r="D10" s="18" t="s">
        <v>61</v>
      </c>
      <c r="E10" s="19">
        <f>+E8-E9</f>
        <v>-77249.390000000014</v>
      </c>
      <c r="F10" s="13"/>
      <c r="G10" s="18" t="s">
        <v>61</v>
      </c>
      <c r="H10" s="19">
        <f>+H8-H9</f>
        <v>167163.15299999982</v>
      </c>
      <c r="I10" s="13"/>
      <c r="J10" s="18" t="s">
        <v>61</v>
      </c>
      <c r="K10" s="19">
        <f>+K8-K9</f>
        <v>435373.06510000007</v>
      </c>
      <c r="M10" s="18" t="s">
        <v>61</v>
      </c>
      <c r="N10" s="19">
        <f>+N8-N9</f>
        <v>618603.67325650004</v>
      </c>
    </row>
    <row r="11" spans="1:14" ht="16.5" thickBot="1" x14ac:dyDescent="0.3">
      <c r="A11" s="14" t="s">
        <v>62</v>
      </c>
      <c r="B11" s="17">
        <v>0</v>
      </c>
      <c r="C11" s="13"/>
      <c r="D11" s="14" t="s">
        <v>62</v>
      </c>
      <c r="E11" s="17">
        <v>0</v>
      </c>
      <c r="F11" s="13"/>
      <c r="G11" s="14" t="s">
        <v>62</v>
      </c>
      <c r="H11" s="17">
        <v>0</v>
      </c>
      <c r="I11" s="13"/>
      <c r="J11" s="14" t="s">
        <v>62</v>
      </c>
      <c r="K11" s="17">
        <v>0</v>
      </c>
      <c r="M11" s="14" t="s">
        <v>62</v>
      </c>
      <c r="N11" s="17">
        <v>0</v>
      </c>
    </row>
    <row r="12" spans="1:14" ht="16.5" thickBot="1" x14ac:dyDescent="0.3">
      <c r="A12" s="18" t="s">
        <v>63</v>
      </c>
      <c r="B12" s="19">
        <f>+B10-B11</f>
        <v>-185136</v>
      </c>
      <c r="C12" s="13"/>
      <c r="D12" s="18" t="s">
        <v>63</v>
      </c>
      <c r="E12" s="19">
        <f>+E10-E11</f>
        <v>-77249.390000000014</v>
      </c>
      <c r="F12" s="13"/>
      <c r="G12" s="18" t="s">
        <v>63</v>
      </c>
      <c r="H12" s="19">
        <f>+H10-H11</f>
        <v>167163.15299999982</v>
      </c>
      <c r="I12" s="13"/>
      <c r="J12" s="18" t="s">
        <v>63</v>
      </c>
      <c r="K12" s="19">
        <f>+K10-K11</f>
        <v>435373.06510000007</v>
      </c>
      <c r="M12" s="18" t="s">
        <v>63</v>
      </c>
      <c r="N12" s="19">
        <f>+N10-N11</f>
        <v>618603.67325650004</v>
      </c>
    </row>
    <row r="13" spans="1:14" ht="16.5" thickBot="1" x14ac:dyDescent="0.3">
      <c r="A13" s="14" t="s">
        <v>40</v>
      </c>
      <c r="B13" s="17"/>
      <c r="C13" s="13"/>
      <c r="D13" s="14" t="s">
        <v>40</v>
      </c>
      <c r="E13" s="17"/>
      <c r="F13" s="13"/>
      <c r="G13" s="14" t="s">
        <v>40</v>
      </c>
      <c r="H13" s="17"/>
      <c r="I13" s="13"/>
      <c r="J13" s="14" t="s">
        <v>40</v>
      </c>
      <c r="K13" s="17"/>
      <c r="M13" s="14" t="s">
        <v>40</v>
      </c>
      <c r="N13" s="17"/>
    </row>
    <row r="14" spans="1:14" ht="16.5" thickBot="1" x14ac:dyDescent="0.3">
      <c r="A14" s="21" t="s">
        <v>36</v>
      </c>
      <c r="B14" s="22">
        <f>+B12</f>
        <v>-185136</v>
      </c>
      <c r="C14" s="13"/>
      <c r="D14" s="21" t="s">
        <v>36</v>
      </c>
      <c r="E14" s="22">
        <f>+E12</f>
        <v>-77249.390000000014</v>
      </c>
      <c r="F14" s="13"/>
      <c r="G14" s="21" t="s">
        <v>36</v>
      </c>
      <c r="H14" s="22">
        <f>+H12</f>
        <v>167163.15299999982</v>
      </c>
      <c r="I14" s="13"/>
      <c r="J14" s="21" t="s">
        <v>36</v>
      </c>
      <c r="K14" s="22">
        <f>+K12</f>
        <v>435373.06510000007</v>
      </c>
      <c r="M14" s="21" t="s">
        <v>36</v>
      </c>
      <c r="N14" s="22">
        <f>+N12</f>
        <v>618603.67325650004</v>
      </c>
    </row>
    <row r="15" spans="1:14" ht="21" x14ac:dyDescent="0.35">
      <c r="A15" s="145" t="s">
        <v>49</v>
      </c>
      <c r="B15" s="146">
        <f>B14/B1</f>
        <v>-0.73510020076125848</v>
      </c>
      <c r="C15" s="13"/>
      <c r="D15" s="145" t="s">
        <v>49</v>
      </c>
      <c r="E15" s="146">
        <f>E14/B1</f>
        <v>-0.30672609377800514</v>
      </c>
      <c r="F15" s="13"/>
      <c r="G15" s="145" t="s">
        <v>49</v>
      </c>
      <c r="H15" s="146">
        <f>H14/B1</f>
        <v>0.66373729220780853</v>
      </c>
      <c r="I15" s="13"/>
      <c r="J15" s="145" t="s">
        <v>49</v>
      </c>
      <c r="K15" s="146">
        <f>K14/B1</f>
        <v>1.7286904090023254</v>
      </c>
      <c r="M15" s="145" t="s">
        <v>49</v>
      </c>
      <c r="N15" s="146">
        <f>N14/B1</f>
        <v>2.4562250691518943</v>
      </c>
    </row>
    <row r="16" spans="1:14" s="148" customFormat="1" ht="15.75" x14ac:dyDescent="0.25">
      <c r="A16" s="30"/>
      <c r="B16" s="30"/>
      <c r="C16" s="30"/>
      <c r="D16" s="30"/>
      <c r="E16" s="30"/>
      <c r="F16" s="30"/>
      <c r="G16" s="30"/>
      <c r="H16" s="30"/>
      <c r="I16" s="30"/>
    </row>
    <row r="17" spans="1:11" s="149" customFormat="1" x14ac:dyDescent="0.25">
      <c r="A17" s="198" t="s">
        <v>101</v>
      </c>
      <c r="B17" s="199"/>
      <c r="H17" s="149">
        <f>B1/H14</f>
        <v>1.5066201820206171</v>
      </c>
    </row>
    <row r="18" spans="1:11" s="149" customFormat="1" x14ac:dyDescent="0.25">
      <c r="A18" s="160">
        <v>3</v>
      </c>
      <c r="B18" s="161" t="s">
        <v>97</v>
      </c>
    </row>
    <row r="19" spans="1:11" s="149" customFormat="1" x14ac:dyDescent="0.25">
      <c r="A19" s="160">
        <f>INT(I20)</f>
        <v>6</v>
      </c>
      <c r="B19" s="161" t="s">
        <v>98</v>
      </c>
      <c r="K19" s="151"/>
    </row>
    <row r="20" spans="1:11" s="149" customFormat="1" x14ac:dyDescent="0.25">
      <c r="A20" s="160">
        <f>ROUNDUP(H21*30,0)</f>
        <v>3</v>
      </c>
      <c r="B20" s="161" t="s">
        <v>99</v>
      </c>
      <c r="H20" s="149">
        <f>H17*12</f>
        <v>18.079442184247405</v>
      </c>
      <c r="I20" s="149">
        <f>H20-12</f>
        <v>6.0794421842474051</v>
      </c>
    </row>
    <row r="21" spans="1:11" s="149" customFormat="1" ht="21" x14ac:dyDescent="0.35">
      <c r="A21" s="150"/>
      <c r="H21" s="149">
        <f>H20-A19-12</f>
        <v>7.9442184247405123E-2</v>
      </c>
    </row>
    <row r="22" spans="1:11" s="149" customFormat="1" x14ac:dyDescent="0.25"/>
    <row r="23" spans="1:11" s="149" customFormat="1" x14ac:dyDescent="0.25"/>
    <row r="24" spans="1:11" s="149" customFormat="1" ht="18" x14ac:dyDescent="0.25">
      <c r="A24" s="152"/>
      <c r="B24" s="153"/>
    </row>
    <row r="25" spans="1:11" s="149" customFormat="1" ht="15.75" x14ac:dyDescent="0.25">
      <c r="A25" s="154"/>
      <c r="B25" s="155"/>
    </row>
    <row r="26" spans="1:11" s="149" customFormat="1" ht="15.75" x14ac:dyDescent="0.25">
      <c r="A26" s="154"/>
      <c r="B26" s="156"/>
    </row>
    <row r="27" spans="1:11" s="149" customFormat="1" ht="15.75" x14ac:dyDescent="0.25">
      <c r="A27" s="154"/>
      <c r="B27" s="156"/>
    </row>
    <row r="28" spans="1:11" s="149" customFormat="1" ht="15.75" x14ac:dyDescent="0.25">
      <c r="A28" s="154"/>
      <c r="B28" s="157"/>
    </row>
    <row r="29" spans="1:11" s="149" customFormat="1" ht="15.75" x14ac:dyDescent="0.25">
      <c r="A29" s="154"/>
      <c r="B29" s="156"/>
    </row>
    <row r="30" spans="1:11" s="149" customFormat="1" ht="15.75" x14ac:dyDescent="0.25">
      <c r="A30" s="154"/>
      <c r="B30" s="158"/>
    </row>
    <row r="31" spans="1:11" s="149" customFormat="1" ht="15.75" x14ac:dyDescent="0.25">
      <c r="A31" s="154"/>
      <c r="B31" s="156"/>
    </row>
    <row r="32" spans="1:11" s="149" customFormat="1" ht="15.75" x14ac:dyDescent="0.25">
      <c r="A32" s="154"/>
      <c r="B32" s="157"/>
    </row>
    <row r="33" spans="1:2" s="149" customFormat="1" ht="15.75" x14ac:dyDescent="0.25">
      <c r="A33" s="154"/>
      <c r="B33" s="156"/>
    </row>
    <row r="34" spans="1:2" s="149" customFormat="1" ht="15.75" x14ac:dyDescent="0.25">
      <c r="A34" s="154"/>
      <c r="B34" s="157"/>
    </row>
    <row r="35" spans="1:2" s="149" customFormat="1" ht="15.75" x14ac:dyDescent="0.25">
      <c r="A35" s="154"/>
      <c r="B35" s="156"/>
    </row>
    <row r="36" spans="1:2" s="149" customFormat="1" ht="15.75" x14ac:dyDescent="0.25">
      <c r="A36" s="154"/>
      <c r="B36" s="157"/>
    </row>
    <row r="37" spans="1:2" s="149" customFormat="1" ht="15.75" x14ac:dyDescent="0.25">
      <c r="A37" s="154"/>
      <c r="B37" s="154"/>
    </row>
    <row r="38" spans="1:2" s="149" customFormat="1" ht="15.75" x14ac:dyDescent="0.25">
      <c r="A38" s="154"/>
      <c r="B38" s="154"/>
    </row>
    <row r="39" spans="1:2" s="149" customFormat="1" ht="20.25" x14ac:dyDescent="0.3">
      <c r="A39" s="147"/>
    </row>
    <row r="40" spans="1:2" s="149" customFormat="1" ht="21" x14ac:dyDescent="0.35">
      <c r="A40" s="150"/>
    </row>
    <row r="41" spans="1:2" s="149" customFormat="1" ht="21" x14ac:dyDescent="0.35">
      <c r="A41" s="150"/>
    </row>
    <row r="42" spans="1:2" s="149" customFormat="1" ht="21" x14ac:dyDescent="0.35">
      <c r="A42" s="150"/>
    </row>
    <row r="43" spans="1:2" s="149" customFormat="1" ht="21" x14ac:dyDescent="0.35">
      <c r="A43" s="150"/>
    </row>
    <row r="44" spans="1:2" s="149" customFormat="1" x14ac:dyDescent="0.25"/>
    <row r="45" spans="1:2" s="149" customFormat="1" x14ac:dyDescent="0.25"/>
    <row r="46" spans="1:2" s="149" customFormat="1" ht="18" x14ac:dyDescent="0.25">
      <c r="A46" s="152"/>
      <c r="B46" s="153"/>
    </row>
    <row r="47" spans="1:2" s="149" customFormat="1" ht="15.75" x14ac:dyDescent="0.25">
      <c r="A47" s="154"/>
      <c r="B47" s="155"/>
    </row>
    <row r="48" spans="1:2" s="149" customFormat="1" ht="15.75" x14ac:dyDescent="0.25">
      <c r="A48" s="154"/>
      <c r="B48" s="156"/>
    </row>
    <row r="49" spans="1:2" s="149" customFormat="1" ht="15.75" x14ac:dyDescent="0.25">
      <c r="A49" s="154"/>
      <c r="B49" s="156"/>
    </row>
    <row r="50" spans="1:2" s="149" customFormat="1" ht="15.75" x14ac:dyDescent="0.25">
      <c r="A50" s="154"/>
      <c r="B50" s="157"/>
    </row>
    <row r="51" spans="1:2" s="149" customFormat="1" ht="15.75" x14ac:dyDescent="0.25">
      <c r="A51" s="154"/>
      <c r="B51" s="156"/>
    </row>
    <row r="52" spans="1:2" s="149" customFormat="1" ht="15.75" x14ac:dyDescent="0.25">
      <c r="A52" s="154"/>
      <c r="B52" s="158"/>
    </row>
    <row r="53" spans="1:2" s="149" customFormat="1" ht="15.75" x14ac:dyDescent="0.25">
      <c r="A53" s="154"/>
      <c r="B53" s="156"/>
    </row>
    <row r="54" spans="1:2" s="149" customFormat="1" ht="15.75" x14ac:dyDescent="0.25">
      <c r="A54" s="154"/>
      <c r="B54" s="157"/>
    </row>
    <row r="55" spans="1:2" s="149" customFormat="1" ht="15.75" x14ac:dyDescent="0.25">
      <c r="A55" s="154"/>
      <c r="B55" s="156"/>
    </row>
    <row r="56" spans="1:2" s="149" customFormat="1" ht="15.75" x14ac:dyDescent="0.25">
      <c r="A56" s="154"/>
      <c r="B56" s="157"/>
    </row>
    <row r="57" spans="1:2" s="149" customFormat="1" ht="15.75" x14ac:dyDescent="0.25">
      <c r="A57" s="154"/>
      <c r="B57" s="156"/>
    </row>
    <row r="58" spans="1:2" s="149" customFormat="1" ht="15.75" x14ac:dyDescent="0.25">
      <c r="A58" s="154"/>
      <c r="B58" s="157"/>
    </row>
    <row r="59" spans="1:2" s="149" customFormat="1" ht="15.75" x14ac:dyDescent="0.25">
      <c r="A59" s="154"/>
      <c r="B59" s="154"/>
    </row>
    <row r="60" spans="1:2" s="149" customFormat="1" ht="15.75" x14ac:dyDescent="0.25">
      <c r="A60" s="154"/>
      <c r="B60" s="154"/>
    </row>
    <row r="61" spans="1:2" s="149" customFormat="1" ht="20.25" x14ac:dyDescent="0.3">
      <c r="A61" s="147"/>
    </row>
    <row r="62" spans="1:2" s="149" customFormat="1" ht="21" x14ac:dyDescent="0.35">
      <c r="A62" s="150"/>
    </row>
    <row r="63" spans="1:2" s="149" customFormat="1" ht="21" x14ac:dyDescent="0.35">
      <c r="A63" s="150"/>
    </row>
    <row r="64" spans="1:2" s="149" customFormat="1" ht="21" x14ac:dyDescent="0.35">
      <c r="A64" s="150"/>
    </row>
    <row r="65" spans="1:2" s="149" customFormat="1" ht="21" x14ac:dyDescent="0.35">
      <c r="A65" s="150"/>
    </row>
    <row r="66" spans="1:2" s="149" customFormat="1" x14ac:dyDescent="0.25"/>
    <row r="67" spans="1:2" s="149" customFormat="1" x14ac:dyDescent="0.25"/>
    <row r="68" spans="1:2" s="149" customFormat="1" ht="18" x14ac:dyDescent="0.25">
      <c r="A68" s="152"/>
      <c r="B68" s="153"/>
    </row>
    <row r="69" spans="1:2" s="149" customFormat="1" ht="15.75" x14ac:dyDescent="0.25">
      <c r="A69" s="154"/>
      <c r="B69" s="155"/>
    </row>
    <row r="70" spans="1:2" s="149" customFormat="1" ht="15.75" x14ac:dyDescent="0.25">
      <c r="A70" s="154"/>
      <c r="B70" s="156"/>
    </row>
    <row r="71" spans="1:2" s="149" customFormat="1" ht="15.75" x14ac:dyDescent="0.25">
      <c r="A71" s="154"/>
      <c r="B71" s="156"/>
    </row>
    <row r="72" spans="1:2" s="149" customFormat="1" ht="15.75" x14ac:dyDescent="0.25">
      <c r="A72" s="154"/>
      <c r="B72" s="157"/>
    </row>
    <row r="73" spans="1:2" s="149" customFormat="1" ht="15.75" x14ac:dyDescent="0.25">
      <c r="A73" s="154"/>
      <c r="B73" s="156"/>
    </row>
    <row r="74" spans="1:2" s="149" customFormat="1" ht="15.75" x14ac:dyDescent="0.25">
      <c r="A74" s="154"/>
      <c r="B74" s="158"/>
    </row>
    <row r="75" spans="1:2" s="149" customFormat="1" ht="15.75" x14ac:dyDescent="0.25">
      <c r="A75" s="154"/>
      <c r="B75" s="156"/>
    </row>
    <row r="76" spans="1:2" s="149" customFormat="1" ht="15.75" x14ac:dyDescent="0.25">
      <c r="A76" s="154"/>
      <c r="B76" s="157"/>
    </row>
    <row r="77" spans="1:2" s="149" customFormat="1" ht="15.75" x14ac:dyDescent="0.25">
      <c r="A77" s="154"/>
      <c r="B77" s="156"/>
    </row>
    <row r="78" spans="1:2" s="149" customFormat="1" ht="15.75" x14ac:dyDescent="0.25">
      <c r="A78" s="154"/>
      <c r="B78" s="157"/>
    </row>
    <row r="79" spans="1:2" s="149" customFormat="1" ht="15.75" x14ac:dyDescent="0.25">
      <c r="A79" s="154"/>
      <c r="B79" s="156"/>
    </row>
    <row r="80" spans="1:2" s="149" customFormat="1" ht="15.75" x14ac:dyDescent="0.25">
      <c r="A80" s="154"/>
      <c r="B80" s="157"/>
    </row>
    <row r="81" spans="1:2" s="149" customFormat="1" ht="15.75" x14ac:dyDescent="0.25">
      <c r="A81" s="154"/>
      <c r="B81" s="154"/>
    </row>
    <row r="82" spans="1:2" s="149" customFormat="1" ht="15.75" x14ac:dyDescent="0.25">
      <c r="A82" s="154"/>
      <c r="B82" s="154"/>
    </row>
    <row r="83" spans="1:2" s="149" customFormat="1" ht="20.25" x14ac:dyDescent="0.3">
      <c r="A83" s="147"/>
    </row>
    <row r="84" spans="1:2" s="149" customFormat="1" ht="21" x14ac:dyDescent="0.35">
      <c r="A84" s="150"/>
    </row>
    <row r="85" spans="1:2" s="149" customFormat="1" ht="21" x14ac:dyDescent="0.35">
      <c r="A85" s="150"/>
    </row>
    <row r="86" spans="1:2" s="149" customFormat="1" ht="21" x14ac:dyDescent="0.35">
      <c r="A86" s="150"/>
    </row>
    <row r="87" spans="1:2" s="149" customFormat="1" ht="21" x14ac:dyDescent="0.35">
      <c r="A87" s="150"/>
    </row>
    <row r="88" spans="1:2" s="149" customFormat="1" x14ac:dyDescent="0.25"/>
    <row r="89" spans="1:2" s="149" customFormat="1" x14ac:dyDescent="0.25"/>
    <row r="90" spans="1:2" s="149" customFormat="1" ht="15.75" x14ac:dyDescent="0.25">
      <c r="A90" s="152"/>
    </row>
    <row r="91" spans="1:2" s="149" customFormat="1" ht="15.75" x14ac:dyDescent="0.25">
      <c r="A91" s="154"/>
    </row>
    <row r="92" spans="1:2" s="149" customFormat="1" ht="15.75" x14ac:dyDescent="0.25">
      <c r="A92" s="154"/>
    </row>
    <row r="93" spans="1:2" s="149" customFormat="1" ht="15.75" x14ac:dyDescent="0.25">
      <c r="A93" s="154"/>
    </row>
    <row r="94" spans="1:2" s="149" customFormat="1" ht="15.75" x14ac:dyDescent="0.25">
      <c r="A94" s="154"/>
    </row>
    <row r="95" spans="1:2" s="149" customFormat="1" ht="15.75" x14ac:dyDescent="0.25">
      <c r="A95" s="154"/>
    </row>
    <row r="96" spans="1:2" s="149" customFormat="1" ht="15.75" x14ac:dyDescent="0.25">
      <c r="A96" s="154"/>
    </row>
    <row r="97" spans="1:2" s="149" customFormat="1" ht="15.75" x14ac:dyDescent="0.25">
      <c r="A97" s="154"/>
    </row>
    <row r="98" spans="1:2" s="149" customFormat="1" ht="15.75" x14ac:dyDescent="0.25">
      <c r="A98" s="154"/>
    </row>
    <row r="99" spans="1:2" s="149" customFormat="1" ht="15.75" x14ac:dyDescent="0.25">
      <c r="A99" s="154"/>
    </row>
    <row r="100" spans="1:2" s="149" customFormat="1" ht="15.75" x14ac:dyDescent="0.25">
      <c r="A100" s="154"/>
    </row>
    <row r="101" spans="1:2" s="149" customFormat="1" ht="15.75" x14ac:dyDescent="0.25">
      <c r="A101" s="154"/>
      <c r="B101" s="159"/>
    </row>
    <row r="102" spans="1:2" s="149" customFormat="1" ht="15.75" x14ac:dyDescent="0.25">
      <c r="A102" s="154"/>
    </row>
    <row r="103" spans="1:2" s="149" customFormat="1" ht="15.75" x14ac:dyDescent="0.25">
      <c r="A103" s="154"/>
    </row>
    <row r="104" spans="1:2" s="149" customFormat="1" ht="15.75" x14ac:dyDescent="0.25">
      <c r="A104" s="154"/>
    </row>
    <row r="105" spans="1:2" s="149" customFormat="1" ht="20.25" x14ac:dyDescent="0.3">
      <c r="A105" s="147"/>
    </row>
    <row r="106" spans="1:2" s="149" customFormat="1" ht="21" x14ac:dyDescent="0.35">
      <c r="A106" s="150"/>
    </row>
    <row r="107" spans="1:2" s="149" customFormat="1" ht="21" x14ac:dyDescent="0.35">
      <c r="A107" s="150"/>
    </row>
    <row r="108" spans="1:2" s="149" customFormat="1" ht="21" x14ac:dyDescent="0.35">
      <c r="A108" s="150"/>
    </row>
    <row r="109" spans="1:2" s="149" customFormat="1" ht="21" x14ac:dyDescent="0.35">
      <c r="A109" s="150"/>
    </row>
    <row r="110" spans="1:2" s="149" customFormat="1" x14ac:dyDescent="0.25"/>
    <row r="111" spans="1:2" s="148" customFormat="1" x14ac:dyDescent="0.25"/>
    <row r="112" spans="1:2" s="148" customFormat="1" x14ac:dyDescent="0.25"/>
    <row r="113" s="148" customFormat="1" x14ac:dyDescent="0.25"/>
    <row r="114" s="148" customFormat="1" x14ac:dyDescent="0.25"/>
    <row r="115" s="148" customFormat="1" x14ac:dyDescent="0.25"/>
    <row r="116" s="148" customFormat="1" x14ac:dyDescent="0.25"/>
    <row r="117" s="148" customFormat="1" x14ac:dyDescent="0.25"/>
    <row r="118" s="148" customFormat="1" x14ac:dyDescent="0.25"/>
    <row r="119" s="148" customFormat="1" x14ac:dyDescent="0.25"/>
    <row r="120" s="148" customFormat="1" x14ac:dyDescent="0.25"/>
    <row r="121" s="148" customFormat="1" x14ac:dyDescent="0.25"/>
    <row r="122" s="148" customFormat="1" x14ac:dyDescent="0.25"/>
    <row r="123" s="148" customFormat="1" x14ac:dyDescent="0.25"/>
    <row r="124" s="148" customFormat="1" x14ac:dyDescent="0.25"/>
    <row r="125" s="148" customFormat="1" x14ac:dyDescent="0.25"/>
    <row r="126" s="148" customFormat="1" x14ac:dyDescent="0.25"/>
    <row r="127" s="148" customFormat="1" x14ac:dyDescent="0.25"/>
    <row r="128" s="148" customFormat="1" x14ac:dyDescent="0.25"/>
    <row r="129" s="148" customFormat="1" x14ac:dyDescent="0.25"/>
    <row r="130" s="148" customFormat="1" x14ac:dyDescent="0.25"/>
    <row r="131" s="148" customFormat="1" x14ac:dyDescent="0.25"/>
    <row r="132" s="148" customFormat="1" x14ac:dyDescent="0.25"/>
    <row r="133" s="148" customFormat="1" x14ac:dyDescent="0.25"/>
    <row r="134" s="148" customFormat="1" x14ac:dyDescent="0.25"/>
    <row r="135" s="148" customFormat="1" x14ac:dyDescent="0.25"/>
    <row r="136" s="148" customFormat="1" x14ac:dyDescent="0.25"/>
    <row r="137" s="148" customFormat="1" x14ac:dyDescent="0.25"/>
    <row r="138" s="148" customFormat="1" x14ac:dyDescent="0.25"/>
    <row r="139" s="148" customFormat="1" x14ac:dyDescent="0.25"/>
    <row r="140" s="148" customFormat="1" x14ac:dyDescent="0.25"/>
    <row r="141" s="148" customFormat="1" x14ac:dyDescent="0.25"/>
    <row r="142" s="148" customFormat="1" x14ac:dyDescent="0.25"/>
    <row r="143" s="148" customFormat="1" x14ac:dyDescent="0.25"/>
    <row r="144" s="148" customFormat="1" x14ac:dyDescent="0.25"/>
    <row r="145" s="148" customFormat="1" x14ac:dyDescent="0.25"/>
    <row r="146" s="148" customFormat="1" x14ac:dyDescent="0.25"/>
    <row r="147" s="148" customFormat="1" x14ac:dyDescent="0.25"/>
    <row r="148" s="148" customFormat="1" x14ac:dyDescent="0.25"/>
    <row r="149" s="148" customFormat="1" x14ac:dyDescent="0.25"/>
    <row r="150" s="148" customFormat="1" x14ac:dyDescent="0.25"/>
    <row r="151" s="148" customFormat="1" x14ac:dyDescent="0.25"/>
    <row r="152" s="148" customFormat="1" x14ac:dyDescent="0.25"/>
    <row r="153" s="148" customFormat="1" x14ac:dyDescent="0.25"/>
    <row r="154" s="148" customFormat="1" x14ac:dyDescent="0.25"/>
    <row r="155" s="148" customFormat="1" x14ac:dyDescent="0.25"/>
    <row r="156" s="148" customFormat="1" x14ac:dyDescent="0.25"/>
    <row r="157" s="148" customFormat="1" x14ac:dyDescent="0.25"/>
    <row r="158" s="148" customFormat="1" x14ac:dyDescent="0.25"/>
    <row r="159" s="148" customFormat="1" x14ac:dyDescent="0.25"/>
    <row r="160" s="148" customFormat="1" x14ac:dyDescent="0.25"/>
    <row r="161" s="148" customFormat="1" x14ac:dyDescent="0.25"/>
    <row r="162" s="148" customFormat="1" x14ac:dyDescent="0.25"/>
    <row r="163" s="148" customFormat="1" x14ac:dyDescent="0.25"/>
    <row r="164" s="148" customFormat="1" x14ac:dyDescent="0.25"/>
    <row r="165" s="148" customFormat="1" x14ac:dyDescent="0.25"/>
    <row r="166" s="148" customFormat="1" x14ac:dyDescent="0.25"/>
    <row r="167" s="148" customFormat="1" x14ac:dyDescent="0.25"/>
    <row r="168" s="148" customFormat="1" x14ac:dyDescent="0.25"/>
    <row r="169" s="148" customFormat="1" x14ac:dyDescent="0.25"/>
    <row r="170" s="148" customFormat="1" x14ac:dyDescent="0.25"/>
    <row r="171" s="148" customFormat="1" x14ac:dyDescent="0.25"/>
    <row r="172" s="148" customFormat="1" x14ac:dyDescent="0.25"/>
    <row r="173" s="148" customFormat="1" x14ac:dyDescent="0.25"/>
    <row r="174" s="148" customFormat="1" x14ac:dyDescent="0.25"/>
    <row r="175" s="148" customFormat="1" x14ac:dyDescent="0.25"/>
    <row r="176" s="148" customFormat="1" x14ac:dyDescent="0.25"/>
    <row r="177" s="148" customFormat="1" x14ac:dyDescent="0.25"/>
    <row r="178" s="148" customFormat="1" x14ac:dyDescent="0.25"/>
    <row r="179" s="148" customFormat="1" x14ac:dyDescent="0.25"/>
    <row r="180" s="148" customFormat="1" x14ac:dyDescent="0.25"/>
    <row r="181" s="148" customFormat="1" x14ac:dyDescent="0.25"/>
    <row r="182" s="148" customFormat="1" x14ac:dyDescent="0.25"/>
    <row r="183" s="148" customFormat="1" x14ac:dyDescent="0.25"/>
    <row r="184" s="148" customFormat="1" x14ac:dyDescent="0.25"/>
    <row r="185" s="148" customFormat="1" x14ac:dyDescent="0.25"/>
    <row r="186" s="148" customFormat="1" x14ac:dyDescent="0.25"/>
    <row r="187" s="148" customFormat="1" x14ac:dyDescent="0.25"/>
    <row r="188" s="148" customFormat="1" x14ac:dyDescent="0.25"/>
    <row r="189" s="148" customFormat="1" x14ac:dyDescent="0.25"/>
    <row r="190" s="148" customFormat="1" x14ac:dyDescent="0.25"/>
    <row r="191" s="148" customFormat="1" x14ac:dyDescent="0.25"/>
    <row r="192" s="148" customFormat="1" x14ac:dyDescent="0.25"/>
    <row r="193" s="148" customFormat="1" x14ac:dyDescent="0.25"/>
    <row r="194" s="148" customFormat="1" x14ac:dyDescent="0.25"/>
    <row r="195" s="148" customFormat="1" x14ac:dyDescent="0.25"/>
    <row r="196" s="148" customFormat="1" x14ac:dyDescent="0.25"/>
    <row r="197" s="148" customFormat="1" x14ac:dyDescent="0.25"/>
    <row r="198" s="148" customFormat="1" x14ac:dyDescent="0.25"/>
    <row r="199" s="148" customFormat="1" x14ac:dyDescent="0.25"/>
    <row r="200" s="148" customFormat="1" x14ac:dyDescent="0.25"/>
    <row r="201" s="148" customFormat="1" x14ac:dyDescent="0.25"/>
    <row r="202" s="148" customFormat="1" x14ac:dyDescent="0.25"/>
    <row r="203" s="148" customFormat="1" x14ac:dyDescent="0.25"/>
    <row r="204" s="148" customFormat="1" x14ac:dyDescent="0.25"/>
    <row r="205" s="148" customFormat="1" x14ac:dyDescent="0.25"/>
    <row r="206" s="148" customFormat="1" x14ac:dyDescent="0.25"/>
    <row r="207" s="148" customFormat="1" x14ac:dyDescent="0.25"/>
    <row r="208" s="148" customFormat="1" x14ac:dyDescent="0.25"/>
    <row r="209" s="148" customFormat="1" x14ac:dyDescent="0.25"/>
    <row r="210" s="148" customFormat="1" x14ac:dyDescent="0.25"/>
    <row r="211" s="148" customFormat="1" x14ac:dyDescent="0.25"/>
    <row r="212" s="148" customFormat="1" x14ac:dyDescent="0.25"/>
    <row r="213" s="148" customFormat="1" x14ac:dyDescent="0.25"/>
    <row r="214" s="148" customFormat="1" x14ac:dyDescent="0.25"/>
    <row r="215" s="148" customFormat="1" x14ac:dyDescent="0.25"/>
    <row r="216" s="148" customFormat="1" x14ac:dyDescent="0.25"/>
    <row r="217" s="148" customFormat="1" x14ac:dyDescent="0.25"/>
    <row r="218" s="148" customFormat="1" x14ac:dyDescent="0.25"/>
    <row r="219" s="148" customFormat="1" x14ac:dyDescent="0.25"/>
    <row r="220" s="148" customFormat="1" x14ac:dyDescent="0.25"/>
    <row r="221" s="148" customFormat="1" x14ac:dyDescent="0.25"/>
    <row r="222" s="148" customFormat="1" x14ac:dyDescent="0.25"/>
    <row r="223" s="148" customFormat="1" x14ac:dyDescent="0.25"/>
    <row r="224" s="148" customFormat="1" x14ac:dyDescent="0.25"/>
    <row r="225" s="148" customFormat="1" x14ac:dyDescent="0.25"/>
    <row r="226" s="148" customFormat="1" x14ac:dyDescent="0.25"/>
    <row r="227" s="148" customFormat="1" x14ac:dyDescent="0.25"/>
    <row r="228" s="148" customFormat="1" x14ac:dyDescent="0.25"/>
    <row r="229" s="148" customFormat="1" x14ac:dyDescent="0.25"/>
    <row r="230" s="148" customFormat="1" x14ac:dyDescent="0.25"/>
    <row r="231" s="148" customFormat="1" x14ac:dyDescent="0.25"/>
    <row r="232" s="148" customFormat="1" x14ac:dyDescent="0.25"/>
    <row r="233" s="148" customFormat="1" x14ac:dyDescent="0.25"/>
    <row r="234" s="148" customFormat="1" x14ac:dyDescent="0.25"/>
    <row r="235" s="148" customFormat="1" x14ac:dyDescent="0.25"/>
    <row r="236" s="148" customFormat="1" x14ac:dyDescent="0.25"/>
    <row r="237" s="148" customFormat="1" x14ac:dyDescent="0.25"/>
    <row r="238" s="148" customFormat="1" x14ac:dyDescent="0.25"/>
    <row r="239" s="148" customFormat="1" x14ac:dyDescent="0.25"/>
    <row r="240" s="148" customFormat="1" x14ac:dyDescent="0.25"/>
    <row r="241" s="148" customFormat="1" x14ac:dyDescent="0.25"/>
    <row r="242" s="148" customFormat="1" x14ac:dyDescent="0.25"/>
    <row r="243" s="148" customFormat="1" x14ac:dyDescent="0.25"/>
    <row r="244" s="148" customFormat="1" x14ac:dyDescent="0.25"/>
    <row r="245" s="148" customFormat="1" x14ac:dyDescent="0.25"/>
    <row r="246" s="148" customFormat="1" x14ac:dyDescent="0.25"/>
    <row r="247" s="148" customFormat="1" x14ac:dyDescent="0.25"/>
    <row r="248" s="148" customFormat="1" x14ac:dyDescent="0.25"/>
    <row r="249" s="148" customFormat="1" x14ac:dyDescent="0.25"/>
    <row r="250" s="148" customFormat="1" x14ac:dyDescent="0.25"/>
    <row r="251" s="148" customFormat="1" x14ac:dyDescent="0.25"/>
    <row r="252" s="148" customFormat="1" x14ac:dyDescent="0.25"/>
    <row r="253" s="148" customFormat="1" x14ac:dyDescent="0.25"/>
    <row r="254" s="148" customFormat="1" x14ac:dyDescent="0.25"/>
    <row r="255" s="148" customFormat="1" x14ac:dyDescent="0.25"/>
    <row r="256" s="148" customFormat="1" x14ac:dyDescent="0.25"/>
    <row r="257" s="148" customFormat="1" x14ac:dyDescent="0.25"/>
  </sheetData>
  <mergeCells count="7">
    <mergeCell ref="A17:B17"/>
    <mergeCell ref="A2:N2"/>
    <mergeCell ref="A3:B3"/>
    <mergeCell ref="D3:E3"/>
    <mergeCell ref="G3:H3"/>
    <mergeCell ref="J3:K3"/>
    <mergeCell ref="M3:N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>
      <selection activeCell="A15" sqref="A15"/>
    </sheetView>
  </sheetViews>
  <sheetFormatPr defaultRowHeight="15" x14ac:dyDescent="0.25"/>
  <cols>
    <col min="1" max="1" width="29.42578125" customWidth="1"/>
    <col min="2" max="2" width="24.28515625" customWidth="1"/>
    <col min="3" max="4" width="28" customWidth="1"/>
    <col min="5" max="5" width="186.85546875" customWidth="1"/>
  </cols>
  <sheetData>
    <row r="1" spans="1:5" x14ac:dyDescent="0.25">
      <c r="A1" s="46" t="s">
        <v>67</v>
      </c>
      <c r="B1" s="46" t="s">
        <v>68</v>
      </c>
      <c r="C1" s="46" t="s">
        <v>69</v>
      </c>
      <c r="D1" s="46" t="s">
        <v>70</v>
      </c>
      <c r="E1" s="46" t="s">
        <v>71</v>
      </c>
    </row>
    <row r="2" spans="1:5" x14ac:dyDescent="0.25">
      <c r="A2" s="3" t="s">
        <v>72</v>
      </c>
      <c r="B2" s="3">
        <v>2</v>
      </c>
      <c r="C2" s="47">
        <v>3419.99</v>
      </c>
      <c r="D2" s="47">
        <f t="shared" ref="D2:D8" si="0">SUM(B2*C2)</f>
        <v>6839.98</v>
      </c>
      <c r="E2" s="48" t="s">
        <v>73</v>
      </c>
    </row>
    <row r="3" spans="1:5" x14ac:dyDescent="0.25">
      <c r="A3" s="55" t="s">
        <v>74</v>
      </c>
      <c r="B3" s="3">
        <v>2</v>
      </c>
      <c r="C3" s="47">
        <v>549</v>
      </c>
      <c r="D3" s="47">
        <f t="shared" si="0"/>
        <v>1098</v>
      </c>
      <c r="E3" s="49" t="s">
        <v>75</v>
      </c>
    </row>
    <row r="4" spans="1:5" x14ac:dyDescent="0.25">
      <c r="A4" s="55" t="s">
        <v>76</v>
      </c>
      <c r="B4" s="3">
        <v>2</v>
      </c>
      <c r="C4" s="47">
        <v>349</v>
      </c>
      <c r="D4" s="47">
        <f t="shared" si="0"/>
        <v>698</v>
      </c>
      <c r="E4" s="49" t="s">
        <v>77</v>
      </c>
    </row>
    <row r="5" spans="1:5" x14ac:dyDescent="0.25">
      <c r="A5" s="55" t="s">
        <v>78</v>
      </c>
      <c r="B5" s="3">
        <v>2</v>
      </c>
      <c r="C5" s="47">
        <v>499</v>
      </c>
      <c r="D5" s="47">
        <f t="shared" si="0"/>
        <v>998</v>
      </c>
      <c r="E5" s="50" t="s">
        <v>79</v>
      </c>
    </row>
    <row r="6" spans="1:5" x14ac:dyDescent="0.25">
      <c r="A6" s="55" t="s">
        <v>80</v>
      </c>
      <c r="B6" s="3">
        <v>2</v>
      </c>
      <c r="C6" s="47">
        <v>1399</v>
      </c>
      <c r="D6" s="47">
        <f t="shared" si="0"/>
        <v>2798</v>
      </c>
      <c r="E6" s="49" t="s">
        <v>81</v>
      </c>
    </row>
    <row r="7" spans="1:5" x14ac:dyDescent="0.25">
      <c r="A7" s="3" t="s">
        <v>82</v>
      </c>
      <c r="B7" s="3">
        <v>1</v>
      </c>
      <c r="C7" s="47">
        <v>1199</v>
      </c>
      <c r="D7" s="47">
        <f t="shared" si="0"/>
        <v>1199</v>
      </c>
      <c r="E7" s="49" t="s">
        <v>83</v>
      </c>
    </row>
    <row r="8" spans="1:5" x14ac:dyDescent="0.25">
      <c r="A8" s="3" t="s">
        <v>84</v>
      </c>
      <c r="B8" s="3">
        <v>1</v>
      </c>
      <c r="C8" s="47">
        <v>164.9</v>
      </c>
      <c r="D8" s="47">
        <f t="shared" si="0"/>
        <v>164.9</v>
      </c>
      <c r="E8" s="49" t="s">
        <v>85</v>
      </c>
    </row>
    <row r="9" spans="1:5" x14ac:dyDescent="0.25">
      <c r="A9" s="51" t="s">
        <v>30</v>
      </c>
      <c r="B9" s="51"/>
      <c r="C9" s="52"/>
      <c r="D9" s="52">
        <f>SUM(D2:D8)</f>
        <v>13795.88</v>
      </c>
      <c r="E9" s="50"/>
    </row>
    <row r="10" spans="1:5" x14ac:dyDescent="0.25">
      <c r="A10" s="50"/>
      <c r="B10" s="50"/>
      <c r="C10" s="53"/>
      <c r="D10" s="53"/>
      <c r="E10" s="50"/>
    </row>
    <row r="11" spans="1:5" x14ac:dyDescent="0.25">
      <c r="D11" s="54"/>
    </row>
    <row r="12" spans="1:5" x14ac:dyDescent="0.25">
      <c r="B12" s="54"/>
    </row>
    <row r="14" spans="1:5" x14ac:dyDescent="0.25">
      <c r="A14" s="54">
        <f>SUM(D3:D5)</f>
        <v>2794</v>
      </c>
      <c r="B14" t="s">
        <v>86</v>
      </c>
    </row>
    <row r="15" spans="1:5" x14ac:dyDescent="0.25">
      <c r="A15" s="54">
        <f>(SUM(D7,D2,D8))</f>
        <v>8203.8799999999992</v>
      </c>
      <c r="B15" t="s">
        <v>87</v>
      </c>
    </row>
  </sheetData>
  <hyperlinks>
    <hyperlink ref="E2" r:id="rId1" display="https://www.lenovo.com/br/pt/laptops/ideapad/serie-300/IdeaPad-3i-15-inch-Intel/p/82BSS00200" xr:uid="{00000000-0004-0000-0500-000000000000}"/>
    <hyperlink ref="E3" r:id="rId2" display="https://www.casasbahia.com.br/Mesa-de-Escritorio-Politorno-Espanha-com-2-Portas-e-3-gavetas/p/239991" xr:uid="{00000000-0004-0000-0500-000001000000}"/>
    <hyperlink ref="E4" r:id="rId3" display="https://www.casasbahia.com.br/cadeira-de-escritorio-cosco-home-niagara-giratoria-com-regulagem-de-altura-preto/p/55015697" xr:uid="{00000000-0004-0000-0500-000002000000}"/>
    <hyperlink ref="E6" r:id="rId4" display="https://www.casasbahia.com.br/Telefones-Celulares/Smartphones/Android/smartphone-motorola-moto-g10-cinza-aurora-64gb-4gb-ram-tela-de-6-5-camera-traseira-quadrupla-android-11-e-processador-qualcomm-460-octa-core-55019913.html?IdSku=55019913" xr:uid="{00000000-0004-0000-0500-000003000000}"/>
    <hyperlink ref="E8" r:id="rId5" display="https://www.casasbahia.com.br/Telefones-Celulares/TelefoniaFixa/Telefonescomfio/telefone-com-fio-intelbras-tc-60-id-com-identificacao-de-chamadas-e-viva-voz-preto-825173.html?IdSku=825173" xr:uid="{00000000-0004-0000-0500-000004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Investimento Inicial</vt:lpstr>
      <vt:lpstr>DESPESA FIXA MENSAL</vt:lpstr>
      <vt:lpstr>FLUXO DE CAIXA</vt:lpstr>
      <vt:lpstr>Base de Dados</vt:lpstr>
      <vt:lpstr>DRE Realista</vt:lpstr>
      <vt:lpstr>Itens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 Cotia</dc:creator>
  <cp:lastModifiedBy>Gabriela Andrade</cp:lastModifiedBy>
  <dcterms:created xsi:type="dcterms:W3CDTF">2019-05-02T14:36:02Z</dcterms:created>
  <dcterms:modified xsi:type="dcterms:W3CDTF">2022-06-08T13:22:12Z</dcterms:modified>
</cp:coreProperties>
</file>