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15" windowHeight="9360" firstSheet="4" activeTab="9"/>
  </bookViews>
  <sheets>
    <sheet name="수가정보 및 인건비비율" sheetId="1" state="hidden" r:id="rId1"/>
    <sheet name="예산Balnace" sheetId="2" state="hidden" r:id="rId2"/>
    <sheet name="인건비balance" sheetId="3" state="hidden" r:id="rId3"/>
    <sheet name="예산서사전준비" sheetId="4" state="hidden" r:id="rId4"/>
    <sheet name="표제" sheetId="5" r:id="rId5"/>
    <sheet name="예산총칙" sheetId="6" r:id="rId6"/>
    <sheet name="예산총괄표" sheetId="7" r:id="rId7"/>
    <sheet name="인건비비율" sheetId="8" r:id="rId8"/>
    <sheet name="세입예산서" sheetId="9" r:id="rId9"/>
    <sheet name="세출예산서" sheetId="10" r:id="rId10"/>
    <sheet name="임직원보수일람표" sheetId="11" state="hidden" r:id="rId11"/>
  </sheets>
  <definedNames>
    <definedName name="_xlnm.Print_Area" localSheetId="8">세입예산서!$A:$AH</definedName>
    <definedName name="_xlnm.Print_Area" localSheetId="9">세출예산서!$A:$AH</definedName>
    <definedName name="_xlnm.Print_Area" localSheetId="6">예산총괄표!$A:$AD</definedName>
    <definedName name="_xlnm.Print_Area" localSheetId="5">예산총칙!$A:$AD</definedName>
    <definedName name="_xlnm.Print_Area" localSheetId="7">인건비비율!$A:$AD</definedName>
    <definedName name="_xlnm.Print_Area" localSheetId="4">표제!$A:$AD</definedName>
    <definedName name="_xlnm.Print_Titles" localSheetId="8">세입예산서!$1:$6</definedName>
    <definedName name="_xlnm.Print_Titles" localSheetId="9">세출예산서!$1:$6</definedName>
  </definedNames>
  <calcPr calcId="191029"/>
</workbook>
</file>

<file path=xl/calcChain.xml><?xml version="1.0" encoding="utf-8"?>
<calcChain xmlns="http://schemas.openxmlformats.org/spreadsheetml/2006/main">
  <c r="X15" i="7" l="1"/>
  <c r="W67" i="9"/>
  <c r="AC39" i="9"/>
  <c r="W118" i="10" l="1"/>
  <c r="AC118" i="10" s="1"/>
  <c r="W117" i="10"/>
  <c r="AC117" i="10" s="1"/>
  <c r="AI114" i="10"/>
  <c r="AI113" i="10"/>
  <c r="AC112" i="10"/>
  <c r="AC111" i="10" s="1"/>
  <c r="AI110" i="10"/>
  <c r="AC109" i="10"/>
  <c r="AC108" i="10"/>
  <c r="AC107" i="10"/>
  <c r="AI107" i="10" s="1"/>
  <c r="AC106" i="10"/>
  <c r="AI103" i="10"/>
  <c r="AC102" i="10"/>
  <c r="AC101" i="10" s="1"/>
  <c r="AI99" i="10"/>
  <c r="W96" i="10"/>
  <c r="Q96" i="10"/>
  <c r="W95" i="10"/>
  <c r="Q95" i="10"/>
  <c r="W92" i="10"/>
  <c r="AI92" i="10" s="1"/>
  <c r="W91" i="10"/>
  <c r="AI91" i="10" s="1"/>
  <c r="W90" i="10"/>
  <c r="AI90" i="10" s="1"/>
  <c r="AI87" i="10"/>
  <c r="AI86" i="10"/>
  <c r="Z83" i="10"/>
  <c r="Z82" i="10"/>
  <c r="Z81" i="10"/>
  <c r="Z79" i="10"/>
  <c r="W79" i="10"/>
  <c r="Q79" i="10"/>
  <c r="Z77" i="10"/>
  <c r="Q77" i="10"/>
  <c r="AI72" i="10"/>
  <c r="AC68" i="10"/>
  <c r="AI68" i="10" s="1"/>
  <c r="AC67" i="10"/>
  <c r="AI67" i="10" s="1"/>
  <c r="AC66" i="10"/>
  <c r="AI66" i="10" s="1"/>
  <c r="AC65" i="10"/>
  <c r="AI65" i="10" s="1"/>
  <c r="AI64" i="10"/>
  <c r="AI63" i="10"/>
  <c r="AC62" i="10"/>
  <c r="AI62" i="10" s="1"/>
  <c r="AC61" i="10"/>
  <c r="AI61" i="10" s="1"/>
  <c r="AC60" i="10"/>
  <c r="AI60" i="10" s="1"/>
  <c r="AC59" i="10"/>
  <c r="AI59" i="10" s="1"/>
  <c r="AC58" i="10"/>
  <c r="AC56" i="10"/>
  <c r="AI56" i="10" s="1"/>
  <c r="AC55" i="10"/>
  <c r="AI55" i="10" s="1"/>
  <c r="AC54" i="10"/>
  <c r="W52" i="10"/>
  <c r="AI50" i="10"/>
  <c r="AC50" i="10"/>
  <c r="W49" i="10"/>
  <c r="AC48" i="10"/>
  <c r="AI48" i="10" s="1"/>
  <c r="AC47" i="10"/>
  <c r="AI47" i="10" s="1"/>
  <c r="AC46" i="10"/>
  <c r="AI46" i="10" s="1"/>
  <c r="AC29" i="10"/>
  <c r="M24" i="2" s="1"/>
  <c r="W29" i="10"/>
  <c r="W28" i="10"/>
  <c r="AC28" i="10" s="1"/>
  <c r="AI26" i="10"/>
  <c r="Z25" i="10"/>
  <c r="W25" i="10"/>
  <c r="H13" i="11" s="1"/>
  <c r="Q25" i="10"/>
  <c r="Z24" i="10"/>
  <c r="W24" i="10"/>
  <c r="H12" i="11" s="1"/>
  <c r="Q24" i="10"/>
  <c r="Z23" i="10"/>
  <c r="W23" i="10"/>
  <c r="H11" i="11" s="1"/>
  <c r="Q23" i="10"/>
  <c r="Z22" i="10"/>
  <c r="W22" i="10"/>
  <c r="H10" i="11" s="1"/>
  <c r="Q22" i="10"/>
  <c r="AC22" i="10" s="1"/>
  <c r="Z21" i="10"/>
  <c r="W21" i="10"/>
  <c r="H9" i="11" s="1"/>
  <c r="Q21" i="10"/>
  <c r="Z20" i="10"/>
  <c r="W20" i="10"/>
  <c r="H8" i="11" s="1"/>
  <c r="Q20" i="10"/>
  <c r="Z19" i="10"/>
  <c r="W19" i="10"/>
  <c r="H7" i="11" s="1"/>
  <c r="Q19" i="10"/>
  <c r="W18" i="10"/>
  <c r="H6" i="11" s="1"/>
  <c r="Q18" i="10"/>
  <c r="AC18" i="10" s="1"/>
  <c r="AI16" i="10"/>
  <c r="AC15" i="10"/>
  <c r="AI15" i="10" s="1"/>
  <c r="Z13" i="10"/>
  <c r="W13" i="10"/>
  <c r="Q13" i="10"/>
  <c r="Z12" i="10"/>
  <c r="W12" i="10"/>
  <c r="H3" i="11" s="1"/>
  <c r="Q12" i="10"/>
  <c r="W11" i="10"/>
  <c r="H2" i="11" s="1"/>
  <c r="Q11" i="10"/>
  <c r="E1" i="10"/>
  <c r="N69" i="9"/>
  <c r="N68" i="9"/>
  <c r="H68" i="9"/>
  <c r="N67" i="9"/>
  <c r="H67" i="9"/>
  <c r="AI63" i="9"/>
  <c r="AI62" i="9"/>
  <c r="AC62" i="9"/>
  <c r="AI61" i="9"/>
  <c r="AI60" i="9"/>
  <c r="AC59" i="9"/>
  <c r="AC58" i="9"/>
  <c r="AI57" i="9"/>
  <c r="AC57" i="9"/>
  <c r="AC78" i="10" s="1"/>
  <c r="AI78" i="10" s="1"/>
  <c r="AI56" i="9"/>
  <c r="AC55" i="9"/>
  <c r="AI52" i="9"/>
  <c r="AI51" i="9"/>
  <c r="AI50" i="9"/>
  <c r="AI49" i="9"/>
  <c r="AC47" i="9"/>
  <c r="E12" i="2" s="1"/>
  <c r="AI46" i="9"/>
  <c r="AI45" i="9"/>
  <c r="AC44" i="9"/>
  <c r="AC43" i="9" s="1"/>
  <c r="W42" i="9"/>
  <c r="AC41" i="9"/>
  <c r="AI41" i="9" s="1"/>
  <c r="AC40" i="9"/>
  <c r="AI40" i="9" s="1"/>
  <c r="W35" i="9"/>
  <c r="Q35" i="9"/>
  <c r="W34" i="9"/>
  <c r="AC34" i="9" s="1"/>
  <c r="W31" i="9"/>
  <c r="AC31" i="9" s="1"/>
  <c r="W30" i="9"/>
  <c r="W83" i="10" s="1"/>
  <c r="Q30" i="9"/>
  <c r="W29" i="9"/>
  <c r="W82" i="10" s="1"/>
  <c r="Q29" i="9"/>
  <c r="Z28" i="9"/>
  <c r="W28" i="9"/>
  <c r="W81" i="10" s="1"/>
  <c r="Q28" i="9"/>
  <c r="Q81" i="10" s="1"/>
  <c r="W26" i="9"/>
  <c r="AC26" i="9" s="1"/>
  <c r="W25" i="9"/>
  <c r="AC25" i="9" s="1"/>
  <c r="W22" i="9"/>
  <c r="AI19" i="9"/>
  <c r="W19" i="9"/>
  <c r="AC19" i="9" s="1"/>
  <c r="AC18" i="9" s="1"/>
  <c r="AC17" i="9"/>
  <c r="I13" i="7" s="1"/>
  <c r="W16" i="9"/>
  <c r="W15" i="9"/>
  <c r="AC15" i="9" s="1"/>
  <c r="AC14" i="9"/>
  <c r="W14" i="9"/>
  <c r="Z12" i="9"/>
  <c r="Z11" i="9"/>
  <c r="AC11" i="9" s="1"/>
  <c r="W10" i="9"/>
  <c r="W39" i="9" s="1"/>
  <c r="Q10" i="9"/>
  <c r="E1" i="9"/>
  <c r="A3" i="8"/>
  <c r="X21" i="7"/>
  <c r="X19" i="7"/>
  <c r="X16" i="7"/>
  <c r="E3" i="7"/>
  <c r="O31" i="6"/>
  <c r="E3" i="6"/>
  <c r="K21" i="5"/>
  <c r="B45" i="4"/>
  <c r="E38" i="4"/>
  <c r="W14" i="10" s="1"/>
  <c r="H5" i="11" s="1"/>
  <c r="G22" i="4"/>
  <c r="G18" i="4"/>
  <c r="H13" i="4"/>
  <c r="B3" i="3"/>
  <c r="M56" i="2"/>
  <c r="M54" i="2"/>
  <c r="M53" i="2"/>
  <c r="M51" i="2"/>
  <c r="M50" i="2"/>
  <c r="M49" i="2"/>
  <c r="M44" i="2"/>
  <c r="I38" i="2"/>
  <c r="M36" i="2"/>
  <c r="N14" i="2"/>
  <c r="E14" i="2"/>
  <c r="N12" i="2"/>
  <c r="N11" i="2"/>
  <c r="N9" i="2"/>
  <c r="E6" i="2"/>
  <c r="D42" i="1"/>
  <c r="D41" i="1"/>
  <c r="D40" i="1"/>
  <c r="D39" i="1"/>
  <c r="D38" i="1"/>
  <c r="G33" i="1"/>
  <c r="D33" i="1"/>
  <c r="D32" i="1"/>
  <c r="D31" i="1"/>
  <c r="D30" i="1"/>
  <c r="G25" i="1"/>
  <c r="D25" i="1"/>
  <c r="G24" i="1"/>
  <c r="D24" i="1"/>
  <c r="G23" i="1"/>
  <c r="D23" i="1"/>
  <c r="G22" i="1"/>
  <c r="D22" i="1"/>
  <c r="G21" i="1"/>
  <c r="Q39" i="9" s="1"/>
  <c r="D21" i="1"/>
  <c r="G16" i="1"/>
  <c r="D16" i="1"/>
  <c r="G15" i="1"/>
  <c r="D15" i="1"/>
  <c r="G14" i="1"/>
  <c r="D14" i="1"/>
  <c r="A2" i="1"/>
  <c r="AC45" i="10" l="1"/>
  <c r="AC116" i="10"/>
  <c r="AC115" i="10" s="1"/>
  <c r="N13" i="2"/>
  <c r="O18" i="6"/>
  <c r="E11" i="2"/>
  <c r="I18" i="7"/>
  <c r="W13" i="9"/>
  <c r="AC13" i="9" s="1"/>
  <c r="AI22" i="9"/>
  <c r="H69" i="9"/>
  <c r="AI20" i="10"/>
  <c r="C10" i="11"/>
  <c r="AI24" i="10"/>
  <c r="AI29" i="10"/>
  <c r="AC12" i="9"/>
  <c r="AI12" i="9" s="1"/>
  <c r="AI14" i="9"/>
  <c r="AC16" i="9"/>
  <c r="AI16" i="9" s="1"/>
  <c r="AC22" i="9"/>
  <c r="AC21" i="9" s="1"/>
  <c r="AC20" i="9" s="1"/>
  <c r="AI25" i="9"/>
  <c r="AC35" i="9"/>
  <c r="AI35" i="9" s="1"/>
  <c r="AC12" i="10"/>
  <c r="C3" i="11" s="1"/>
  <c r="E3" i="11" s="1"/>
  <c r="G3" i="11" s="1"/>
  <c r="AC20" i="10"/>
  <c r="AI22" i="10"/>
  <c r="AC24" i="10"/>
  <c r="C12" i="11" s="1"/>
  <c r="AC79" i="10"/>
  <c r="AI79" i="10" s="1"/>
  <c r="AI118" i="10"/>
  <c r="AC81" i="10"/>
  <c r="Q82" i="10"/>
  <c r="AC29" i="9"/>
  <c r="AI29" i="9" s="1"/>
  <c r="AI55" i="9"/>
  <c r="AC54" i="9"/>
  <c r="AC53" i="9" s="1"/>
  <c r="AC11" i="10"/>
  <c r="AI11" i="10" s="1"/>
  <c r="H4" i="11"/>
  <c r="I42" i="4"/>
  <c r="AC13" i="10"/>
  <c r="C4" i="11" s="1"/>
  <c r="C6" i="11"/>
  <c r="AI18" i="10"/>
  <c r="AC19" i="10"/>
  <c r="C7" i="11" s="1"/>
  <c r="AC21" i="10"/>
  <c r="C9" i="11" s="1"/>
  <c r="AC23" i="10"/>
  <c r="C11" i="11" s="1"/>
  <c r="AC25" i="10"/>
  <c r="C13" i="11" s="1"/>
  <c r="D4" i="11"/>
  <c r="D2" i="11"/>
  <c r="AC27" i="10"/>
  <c r="M23" i="2"/>
  <c r="AI45" i="10"/>
  <c r="AC49" i="10"/>
  <c r="M30" i="2" s="1"/>
  <c r="AI54" i="10"/>
  <c r="AC53" i="10"/>
  <c r="AI53" i="10" s="1"/>
  <c r="AC95" i="10"/>
  <c r="AC94" i="10" s="1"/>
  <c r="AI106" i="10"/>
  <c r="AC105" i="10"/>
  <c r="AC104" i="10" s="1"/>
  <c r="X20" i="7"/>
  <c r="M55" i="2"/>
  <c r="D3" i="11"/>
  <c r="W77" i="10"/>
  <c r="AC77" i="10" s="1"/>
  <c r="I13" i="4"/>
  <c r="AC10" i="9"/>
  <c r="AC9" i="9" s="1"/>
  <c r="AI11" i="9"/>
  <c r="AI13" i="9"/>
  <c r="AI15" i="9"/>
  <c r="AI26" i="9"/>
  <c r="AC28" i="9"/>
  <c r="Q83" i="10"/>
  <c r="AC30" i="9"/>
  <c r="AI30" i="9" s="1"/>
  <c r="AI34" i="9"/>
  <c r="AC38" i="9"/>
  <c r="H14" i="11"/>
  <c r="F3" i="11"/>
  <c r="AI13" i="10"/>
  <c r="AI19" i="10"/>
  <c r="C8" i="11"/>
  <c r="AI21" i="10"/>
  <c r="E10" i="11"/>
  <c r="G10" i="11" s="1"/>
  <c r="F10" i="11"/>
  <c r="E12" i="11"/>
  <c r="G12" i="11" s="1"/>
  <c r="F12" i="11"/>
  <c r="AI25" i="10"/>
  <c r="AI28" i="10"/>
  <c r="AI58" i="10"/>
  <c r="AC57" i="10"/>
  <c r="AI57" i="10" s="1"/>
  <c r="D5" i="11"/>
  <c r="AI28" i="9"/>
  <c r="AC96" i="10"/>
  <c r="AI96" i="10" s="1"/>
  <c r="AI117" i="10"/>
  <c r="AI23" i="10" l="1"/>
  <c r="E7" i="2"/>
  <c r="I14" i="7"/>
  <c r="AI12" i="10"/>
  <c r="AC33" i="9"/>
  <c r="AC32" i="9" s="1"/>
  <c r="E8" i="11"/>
  <c r="G8" i="11" s="1"/>
  <c r="F8" i="11"/>
  <c r="AC27" i="9"/>
  <c r="AC24" i="9" s="1"/>
  <c r="AC23" i="9" s="1"/>
  <c r="I14" i="8"/>
  <c r="Q42" i="9"/>
  <c r="AC8" i="9"/>
  <c r="AC7" i="9" s="1"/>
  <c r="X17" i="7"/>
  <c r="N10" i="2"/>
  <c r="AI77" i="10"/>
  <c r="F11" i="11"/>
  <c r="E11" i="11"/>
  <c r="G11" i="11" s="1"/>
  <c r="F7" i="11"/>
  <c r="E7" i="11"/>
  <c r="G7" i="11" s="1"/>
  <c r="AC17" i="10"/>
  <c r="E4" i="11"/>
  <c r="G4" i="11" s="1"/>
  <c r="F4" i="11"/>
  <c r="AC82" i="10"/>
  <c r="AI82" i="10" s="1"/>
  <c r="AC83" i="10"/>
  <c r="AI83" i="10" s="1"/>
  <c r="AI10" i="9"/>
  <c r="AI95" i="10"/>
  <c r="AI49" i="10"/>
  <c r="AC44" i="10"/>
  <c r="E13" i="11"/>
  <c r="G13" i="11" s="1"/>
  <c r="F13" i="11"/>
  <c r="F9" i="11"/>
  <c r="E9" i="11"/>
  <c r="G9" i="11" s="1"/>
  <c r="G6" i="11"/>
  <c r="F6" i="11"/>
  <c r="C2" i="11"/>
  <c r="D4" i="3"/>
  <c r="E13" i="2"/>
  <c r="I20" i="7"/>
  <c r="AI39" i="9"/>
  <c r="AI81" i="10"/>
  <c r="AC80" i="10" l="1"/>
  <c r="AC76" i="10" s="1"/>
  <c r="E9" i="2"/>
  <c r="I16" i="7"/>
  <c r="D6" i="3"/>
  <c r="D5" i="3"/>
  <c r="M41" i="2"/>
  <c r="AC32" i="10"/>
  <c r="M22" i="2"/>
  <c r="AC43" i="10"/>
  <c r="AI43" i="10" s="1"/>
  <c r="AC41" i="10"/>
  <c r="AI41" i="10" s="1"/>
  <c r="AI17" i="10"/>
  <c r="AC42" i="10"/>
  <c r="AI42" i="10" s="1"/>
  <c r="AC40" i="10"/>
  <c r="AC42" i="9"/>
  <c r="AC37" i="9" s="1"/>
  <c r="E8" i="2"/>
  <c r="I15" i="7"/>
  <c r="E2" i="11"/>
  <c r="G2" i="11" s="1"/>
  <c r="F2" i="11"/>
  <c r="E5" i="2"/>
  <c r="D7" i="3" l="1"/>
  <c r="AI42" i="9"/>
  <c r="AC36" i="9"/>
  <c r="P14" i="8"/>
  <c r="X14" i="8" s="1"/>
  <c r="L26" i="8" s="1"/>
  <c r="B4" i="3"/>
  <c r="B5" i="3" s="1"/>
  <c r="B6" i="3" s="1"/>
  <c r="B7" i="3" s="1"/>
  <c r="B8" i="3" s="1"/>
  <c r="B10" i="3" s="1"/>
  <c r="AI40" i="10"/>
  <c r="AC39" i="10"/>
  <c r="M28" i="2" s="1"/>
  <c r="M26" i="2"/>
  <c r="AI32" i="10"/>
  <c r="Q14" i="10" l="1"/>
  <c r="E37" i="4"/>
  <c r="H42" i="4" s="1"/>
  <c r="I17" i="7"/>
  <c r="E10" i="2"/>
  <c r="K6" i="9"/>
  <c r="E15" i="2" l="1"/>
  <c r="AC14" i="10"/>
  <c r="M48" i="2" l="1"/>
  <c r="AC100" i="10" s="1"/>
  <c r="M46" i="2"/>
  <c r="M43" i="2"/>
  <c r="AC85" i="10" s="1"/>
  <c r="AI85" i="10" s="1"/>
  <c r="M40" i="2"/>
  <c r="AC73" i="10" s="1"/>
  <c r="AI73" i="10" s="1"/>
  <c r="M38" i="2"/>
  <c r="AC71" i="10" s="1"/>
  <c r="M37" i="2"/>
  <c r="M34" i="2"/>
  <c r="M32" i="2"/>
  <c r="AC52" i="10" s="1"/>
  <c r="M29" i="2"/>
  <c r="Q54" i="2"/>
  <c r="Q53" i="2"/>
  <c r="M52" i="2"/>
  <c r="M47" i="2"/>
  <c r="M33" i="2"/>
  <c r="E16" i="2"/>
  <c r="Q36" i="2"/>
  <c r="Q56" i="2"/>
  <c r="M45" i="2"/>
  <c r="AC89" i="10" s="1"/>
  <c r="M42" i="2"/>
  <c r="AC84" i="10" s="1"/>
  <c r="M39" i="2"/>
  <c r="M35" i="2"/>
  <c r="M31" i="2"/>
  <c r="Q24" i="2"/>
  <c r="Q51" i="2"/>
  <c r="H7" i="2"/>
  <c r="H12" i="2"/>
  <c r="Q44" i="2"/>
  <c r="Q49" i="2"/>
  <c r="H6" i="2"/>
  <c r="H11" i="2"/>
  <c r="H14" i="2"/>
  <c r="Q50" i="2"/>
  <c r="Q55" i="2"/>
  <c r="Q30" i="2"/>
  <c r="H9" i="2"/>
  <c r="Q23" i="2"/>
  <c r="H13" i="2"/>
  <c r="H8" i="2"/>
  <c r="Q22" i="2"/>
  <c r="H5" i="2"/>
  <c r="Q41" i="2"/>
  <c r="Q26" i="2"/>
  <c r="Q28" i="2"/>
  <c r="C5" i="11"/>
  <c r="AC10" i="10"/>
  <c r="AI14" i="10"/>
  <c r="H10" i="2"/>
  <c r="H15" i="2" l="1"/>
  <c r="E5" i="11"/>
  <c r="G5" i="11" s="1"/>
  <c r="F5" i="11"/>
  <c r="AC93" i="10"/>
  <c r="Q93" i="10" s="1"/>
  <c r="AI93" i="10" s="1"/>
  <c r="AI89" i="10"/>
  <c r="AC88" i="10"/>
  <c r="Q52" i="10"/>
  <c r="AI52" i="10" s="1"/>
  <c r="AC38" i="10"/>
  <c r="AI38" i="10" s="1"/>
  <c r="AC37" i="10"/>
  <c r="AI37" i="10" s="1"/>
  <c r="AC36" i="10"/>
  <c r="AI36" i="10" s="1"/>
  <c r="AC35" i="10"/>
  <c r="AC31" i="10"/>
  <c r="AI10" i="10"/>
  <c r="AC9" i="10"/>
  <c r="A20" i="8"/>
  <c r="M21" i="2"/>
  <c r="Q21" i="2" s="1"/>
  <c r="AI84" i="10"/>
  <c r="AC75" i="10"/>
  <c r="AC74" i="10" s="1"/>
  <c r="AI71" i="10"/>
  <c r="AC70" i="10"/>
  <c r="AC69" i="10" s="1"/>
  <c r="AC98" i="10"/>
  <c r="AI100" i="10"/>
  <c r="AC97" i="10" l="1"/>
  <c r="O28" i="6"/>
  <c r="AC34" i="10"/>
  <c r="AI35" i="10"/>
  <c r="X13" i="7"/>
  <c r="N6" i="2"/>
  <c r="X14" i="7"/>
  <c r="N7" i="2"/>
  <c r="M25" i="2"/>
  <c r="Q25" i="2" s="1"/>
  <c r="AI31" i="10"/>
  <c r="I20" i="8"/>
  <c r="AC30" i="10"/>
  <c r="AC33" i="10" l="1"/>
  <c r="AC8" i="10" s="1"/>
  <c r="AC7" i="10" s="1"/>
  <c r="K6" i="10" s="1"/>
  <c r="P20" i="8"/>
  <c r="X20" i="8" s="1"/>
  <c r="M27" i="2"/>
  <c r="Q27" i="2" s="1"/>
  <c r="N8" i="2"/>
  <c r="O22" i="8" l="1"/>
  <c r="U26" i="8" s="1"/>
  <c r="C26" i="8"/>
  <c r="X12" i="7"/>
  <c r="N5" i="2"/>
  <c r="N17" i="2" l="1"/>
  <c r="N15" i="2"/>
  <c r="AO3" i="10"/>
  <c r="J42" i="4" s="1"/>
  <c r="K42" i="4" s="1"/>
  <c r="AO3" i="9"/>
  <c r="N16" i="2" l="1"/>
  <c r="Q11" i="2"/>
  <c r="Q9" i="2"/>
  <c r="Q14" i="2"/>
  <c r="Q12" i="2"/>
  <c r="Q13" i="2"/>
  <c r="Q10" i="2"/>
  <c r="Q6" i="2"/>
  <c r="Q7" i="2"/>
  <c r="Q8" i="2"/>
  <c r="Q5" i="2"/>
  <c r="Q15" i="2" l="1"/>
</calcChain>
</file>

<file path=xl/sharedStrings.xml><?xml version="1.0" encoding="utf-8"?>
<sst xmlns="http://schemas.openxmlformats.org/spreadsheetml/2006/main" count="873" uniqueCount="489">
  <si>
    <t>1. 현재 시설의 감정 평가액은 4,424,116,200원이며 대출금은 2,800,000,000원입니다.(실질 부채비율 63.3%)</t>
  </si>
  <si>
    <t>3. 상기 채무액은 시설회계로 상환할 수 없고, 대표자 개인 자금으로 변제할 계획이므로 시설 운영에 영향</t>
  </si>
  <si>
    <t>※ 전체 근로자 4대보험 가입을 전제로 산출함.(단, 대표자는 고용 산재보험 취득 대상이 아니므로 재외함.)</t>
  </si>
  <si>
    <t xml:space="preserve">입소자(이용자)의 생계 이외의 급식 제공을 위한 비용 등  </t>
  </si>
  <si>
    <t xml:space="preserve"> 세입 세출 에산의 명세는 별첨 '세입-세출 예산서' 와 같다.</t>
  </si>
  <si>
    <t>세입세출Balance가 0보다 큰 경우 차액을 잡지출로 추가함.</t>
  </si>
  <si>
    <t>요양보호사 1인당 연간 급여</t>
  </si>
  <si>
    <t xml:space="preserve">각종수당(직접비)   </t>
  </si>
  <si>
    <t xml:space="preserve">  임금 총액의 4.5% =</t>
  </si>
  <si>
    <t>balace(세입-세출)</t>
  </si>
  <si>
    <t xml:space="preserve">  임금 총액의 0.8% =</t>
  </si>
  <si>
    <t>09 적립금 및 준비금</t>
  </si>
  <si>
    <t>본예산 사전준비 자료 작성</t>
  </si>
  <si>
    <t>814 기타전입금(후원금)</t>
  </si>
  <si>
    <t xml:space="preserve">기타전입금(후원금)  </t>
  </si>
  <si>
    <t>을 주지 않을 것입니다.</t>
  </si>
  <si>
    <t>요양보호사 인건비 산출</t>
  </si>
  <si>
    <t>주간보호(8시간 기준)</t>
  </si>
  <si>
    <t>직접종사자 인건비 비율</t>
  </si>
  <si>
    <t>1012 기타예금이자수입</t>
  </si>
  <si>
    <t xml:space="preserve">퇴직적립금(간접비)  </t>
  </si>
  <si>
    <t>2. 주간보호 / 방문요양</t>
  </si>
  <si>
    <t>방문요양(3시간 기준)</t>
  </si>
  <si>
    <t xml:space="preserve">식재료비(간식비포함)  </t>
  </si>
  <si>
    <t xml:space="preserve">법인으로 부터의 전입  </t>
  </si>
  <si>
    <t>3. 방문목욕 / 방문간호</t>
  </si>
  <si>
    <t>장기요양급여 수입 예산 총액</t>
  </si>
  <si>
    <t>11 입소(이용)비용 수입</t>
  </si>
  <si>
    <t xml:space="preserve"> 당해년도 기타 전출금은</t>
  </si>
  <si>
    <t>요양보호사 외 직접인건비</t>
  </si>
  <si>
    <t>세출 세부 항목 비율 설정</t>
  </si>
  <si>
    <t xml:space="preserve">전년도이월금(후원금)  </t>
  </si>
  <si>
    <t xml:space="preserve">간호(조무)사(평균)  </t>
  </si>
  <si>
    <t>611 장기요양급여수입</t>
  </si>
  <si>
    <t>결 재 (서명 또는 인)</t>
  </si>
  <si>
    <t xml:space="preserve">임금 총액의 8.3%  </t>
  </si>
  <si>
    <t>132 수용비 및 수수료</t>
  </si>
  <si>
    <t xml:space="preserve">  임금 총액의 0.9% =</t>
  </si>
  <si>
    <t xml:space="preserve">법인전입금(후원금)  </t>
  </si>
  <si>
    <t>물리(작업)치료사(평균)</t>
  </si>
  <si>
    <t>1. 시설 / 공동생활가정</t>
  </si>
  <si>
    <t xml:space="preserve">이월 식재료비 지출  </t>
  </si>
  <si>
    <t>1013 직원식재료수입</t>
  </si>
  <si>
    <t xml:space="preserve">운영비 부족분 차입  </t>
  </si>
  <si>
    <t>115 퇴직금 및 퇴직적립금</t>
  </si>
  <si>
    <t xml:space="preserve">퇴직적립금(직접비)  </t>
  </si>
  <si>
    <t xml:space="preserve">전년도이월금(식재료비)  </t>
  </si>
  <si>
    <t>요양보호사 인건비 총액</t>
  </si>
  <si>
    <t>912 시설환경개선준비금</t>
  </si>
  <si>
    <t>기초수급자 생계비 소계</t>
  </si>
  <si>
    <t>912 전년도이월금(후원금)</t>
  </si>
  <si>
    <t xml:space="preserve">시설개보수 등 시설비  </t>
  </si>
  <si>
    <t xml:space="preserve">생계비(기초수급자)  </t>
  </si>
  <si>
    <t>세입-세출 balance</t>
  </si>
  <si>
    <t>방문목욕(1시간 기준)</t>
  </si>
  <si>
    <t>812 법인전입금(후원금)</t>
  </si>
  <si>
    <t>세출예산액</t>
  </si>
  <si>
    <t>원 이다.</t>
  </si>
  <si>
    <t>제 3조 :</t>
  </si>
  <si>
    <t>제 5조 :</t>
  </si>
  <si>
    <t>세  출</t>
  </si>
  <si>
    <t>제 2조 :</t>
  </si>
  <si>
    <t>제 1조 :</t>
  </si>
  <si>
    <t>제 6조 :</t>
  </si>
  <si>
    <t>세입예산액</t>
  </si>
  <si>
    <t>예산총칙</t>
  </si>
  <si>
    <t>세  입</t>
  </si>
  <si>
    <t>본예산서</t>
  </si>
  <si>
    <t>퇴직적립금</t>
  </si>
  <si>
    <t>91 이월금</t>
  </si>
  <si>
    <t xml:space="preserve">시도보조금  </t>
  </si>
  <si>
    <t>제 4조 :</t>
  </si>
  <si>
    <t>제 7조 :</t>
  </si>
  <si>
    <t>본인부담금</t>
  </si>
  <si>
    <t xml:space="preserve">이미용비  </t>
  </si>
  <si>
    <t>과년도수입</t>
  </si>
  <si>
    <t xml:space="preserve">상급침실료  </t>
  </si>
  <si>
    <t>사업수입</t>
  </si>
  <si>
    <t>71 차입금</t>
  </si>
  <si>
    <t xml:space="preserve">특별위로금  </t>
  </si>
  <si>
    <t>1. 세입내역</t>
  </si>
  <si>
    <t xml:space="preserve">사업수입  </t>
  </si>
  <si>
    <t>사회보험부담금</t>
  </si>
  <si>
    <t>02 사업수입</t>
  </si>
  <si>
    <t>계정과목</t>
  </si>
  <si>
    <t>09 이월금</t>
  </si>
  <si>
    <t>이용자부담금</t>
  </si>
  <si>
    <t>21 사업수입</t>
  </si>
  <si>
    <t xml:space="preserve">국고보조금  </t>
  </si>
  <si>
    <t>보조금수입</t>
  </si>
  <si>
    <t>급여 및 수당</t>
  </si>
  <si>
    <t xml:space="preserve">통신비 등  </t>
  </si>
  <si>
    <t xml:space="preserve">가산금수입  </t>
  </si>
  <si>
    <t xml:space="preserve">보험료  </t>
  </si>
  <si>
    <t>※ 산출근거</t>
  </si>
  <si>
    <t>과년도지출</t>
  </si>
  <si>
    <t>07 차입금</t>
  </si>
  <si>
    <t>재산조성비</t>
  </si>
  <si>
    <t>인건비비율</t>
  </si>
  <si>
    <t>81 전입금</t>
  </si>
  <si>
    <t>자산취득비</t>
  </si>
  <si>
    <t>111 급여</t>
  </si>
  <si>
    <t>101 잡수입</t>
  </si>
  <si>
    <t>요양급여수입</t>
  </si>
  <si>
    <t>공단급여</t>
  </si>
  <si>
    <t xml:space="preserve">기타운영비 </t>
  </si>
  <si>
    <t xml:space="preserve">지정후원금  </t>
  </si>
  <si>
    <t>* 총계 *</t>
  </si>
  <si>
    <t xml:space="preserve">제수수료  </t>
  </si>
  <si>
    <t>08 전입금</t>
  </si>
  <si>
    <t>10 잡수입</t>
  </si>
  <si>
    <t>예산 총괄표</t>
  </si>
  <si>
    <t xml:space="preserve">임차료  </t>
  </si>
  <si>
    <t xml:space="preserve">생계비  </t>
  </si>
  <si>
    <t xml:space="preserve">과년도수입  </t>
  </si>
  <si>
    <t>812 반환금</t>
  </si>
  <si>
    <t xml:space="preserve">직원식재료  </t>
  </si>
  <si>
    <t>방문간호</t>
  </si>
  <si>
    <t>13 운영비</t>
  </si>
  <si>
    <t xml:space="preserve">운전원  </t>
  </si>
  <si>
    <t xml:space="preserve">조리원  </t>
  </si>
  <si>
    <t>31 운영비</t>
  </si>
  <si>
    <t xml:space="preserve">사무원  </t>
  </si>
  <si>
    <t>운영충당적립금</t>
  </si>
  <si>
    <t>319 연료비</t>
  </si>
  <si>
    <t>33 사업비</t>
  </si>
  <si>
    <t>시설코드</t>
  </si>
  <si>
    <t>71 잡지출</t>
  </si>
  <si>
    <t>식재료비(월)</t>
  </si>
  <si>
    <t>주간보호</t>
  </si>
  <si>
    <t xml:space="preserve">관리인  </t>
  </si>
  <si>
    <t>기초수급자</t>
  </si>
  <si>
    <t xml:space="preserve">협회비 등  </t>
  </si>
  <si>
    <t xml:space="preserve">기타잡수입  </t>
  </si>
  <si>
    <t>136 임차료</t>
  </si>
  <si>
    <t>211 시설비</t>
  </si>
  <si>
    <t>314 의료비</t>
  </si>
  <si>
    <t>환경개선준비금</t>
  </si>
  <si>
    <t xml:space="preserve">월동대책비  </t>
  </si>
  <si>
    <t>시설장비유지비</t>
  </si>
  <si>
    <t xml:space="preserve">회의비  </t>
  </si>
  <si>
    <t xml:space="preserve">기타전입금  </t>
  </si>
  <si>
    <t>04 전출금</t>
  </si>
  <si>
    <t>21 시설비</t>
  </si>
  <si>
    <t>131 여비</t>
  </si>
  <si>
    <t>후원금수입</t>
  </si>
  <si>
    <t xml:space="preserve">기타보조금  </t>
  </si>
  <si>
    <t>요양보호사</t>
  </si>
  <si>
    <t>인건비총액</t>
  </si>
  <si>
    <t>가산점수</t>
  </si>
  <si>
    <t>3,4,5</t>
  </si>
  <si>
    <t>차량렌트</t>
  </si>
  <si>
    <t xml:space="preserve">예비비  </t>
  </si>
  <si>
    <t>06 상환금</t>
  </si>
  <si>
    <t xml:space="preserve">시설장 외  </t>
  </si>
  <si>
    <t>시설장(대표)</t>
  </si>
  <si>
    <t>정원-현원</t>
  </si>
  <si>
    <t>사회복지사</t>
  </si>
  <si>
    <t>각종수당</t>
  </si>
  <si>
    <t>종사자식대</t>
  </si>
  <si>
    <t>상급침실(월)</t>
  </si>
  <si>
    <t xml:space="preserve">법인전입금  </t>
  </si>
  <si>
    <t>대표자명</t>
  </si>
  <si>
    <t>합계금액</t>
  </si>
  <si>
    <t>사무실월세</t>
  </si>
  <si>
    <t>07 잡지출</t>
  </si>
  <si>
    <t>프로그램비</t>
  </si>
  <si>
    <t>방문목욕</t>
  </si>
  <si>
    <t>11 인건비</t>
  </si>
  <si>
    <t>공동생활가정</t>
  </si>
  <si>
    <t>사회보험</t>
  </si>
  <si>
    <t>공공요금 소계</t>
  </si>
  <si>
    <t>711 잡지출</t>
  </si>
  <si>
    <t>예산서 인원</t>
  </si>
  <si>
    <t>인건비구분</t>
  </si>
  <si>
    <t>방문요양</t>
  </si>
  <si>
    <t>* 검증 *</t>
  </si>
  <si>
    <t>사업구분</t>
  </si>
  <si>
    <t>123 회의비</t>
  </si>
  <si>
    <t>01 사무비</t>
  </si>
  <si>
    <t>41 전출금</t>
  </si>
  <si>
    <t>원금상화금</t>
  </si>
  <si>
    <t>기타운영비</t>
  </si>
  <si>
    <t>입소자부담금</t>
  </si>
  <si>
    <t>811 예비비</t>
  </si>
  <si>
    <t>4. 단기보호</t>
  </si>
  <si>
    <t>단기보호</t>
  </si>
  <si>
    <t>프로그램사업비</t>
  </si>
  <si>
    <t>세입항목</t>
  </si>
  <si>
    <t>특별급식비</t>
  </si>
  <si>
    <t>2024년도</t>
  </si>
  <si>
    <t xml:space="preserve">  본인부담금</t>
  </si>
  <si>
    <t>경조사비</t>
  </si>
  <si>
    <t>대여용구</t>
  </si>
  <si>
    <t>수용비 소계</t>
  </si>
  <si>
    <t>판매용구</t>
  </si>
  <si>
    <t>시설장(직원)</t>
  </si>
  <si>
    <t>이월식재료비</t>
  </si>
  <si>
    <t>간호(조무)사</t>
  </si>
  <si>
    <t>03 사업비</t>
  </si>
  <si>
    <t>업무추진비</t>
  </si>
  <si>
    <t>1~5등급</t>
  </si>
  <si>
    <t>사무국장</t>
  </si>
  <si>
    <t>이자지불금</t>
  </si>
  <si>
    <t>직책보조비</t>
  </si>
  <si>
    <t>대여용구취득비</t>
  </si>
  <si>
    <t>수용기관경비</t>
  </si>
  <si>
    <t>월급(평균)</t>
  </si>
  <si>
    <t>원금상환금</t>
  </si>
  <si>
    <t>기관운영비</t>
  </si>
  <si>
    <t>수용비및수수료</t>
  </si>
  <si>
    <t>비율차이</t>
  </si>
  <si>
    <t>311 생계비</t>
  </si>
  <si>
    <t>※ 인건비비율</t>
  </si>
  <si>
    <t>복지용구취득비</t>
  </si>
  <si>
    <t>특별위로금</t>
  </si>
  <si>
    <t>회계연도</t>
  </si>
  <si>
    <t>각 종 세금</t>
  </si>
  <si>
    <t>차량 미이용</t>
  </si>
  <si>
    <t>생계비 소계</t>
  </si>
  <si>
    <t>※ 포괄 임금 형태로 
매월 정기적으로 지급하는 수당 등은 급여로 편성함.</t>
  </si>
  <si>
    <t xml:space="preserve">(직접 종사자 인건비 지출 예산 총액) ÷ (장기요양급여수입 예산 총액) </t>
  </si>
  <si>
    <r>
      <t xml:space="preserve">3-1. 월평균 수입 : </t>
    </r>
    <r>
      <rPr>
        <b/>
        <u/>
        <sz val="11"/>
        <color rgb="FFFF0000"/>
        <rFont val="맑은 고딕"/>
        <family val="3"/>
        <charset val="129"/>
      </rPr>
      <t>방문요양, 방문목욕, 방문간호, 단기보호만 필수 기재.</t>
    </r>
  </si>
  <si>
    <r>
      <t xml:space="preserve">4. 기타수입 (해당시 </t>
    </r>
    <r>
      <rPr>
        <b/>
        <u/>
        <sz val="11"/>
        <color rgb="FFFF0000"/>
        <rFont val="맑은 고딕"/>
        <family val="3"/>
        <charset val="129"/>
      </rPr>
      <t>월 평균 금액</t>
    </r>
    <r>
      <rPr>
        <b/>
        <sz val="11"/>
        <color rgb="FF000000"/>
        <rFont val="맑은 고딕"/>
        <family val="3"/>
        <charset val="129"/>
      </rPr>
      <t>을 기재하여주시고 없으시면 공란으로 남겨주세요.)</t>
    </r>
  </si>
  <si>
    <r>
      <t xml:space="preserve">7. 기타지출 (해당시 </t>
    </r>
    <r>
      <rPr>
        <b/>
        <u/>
        <sz val="11"/>
        <color rgb="FFFF0000"/>
        <rFont val="맑은 고딕"/>
        <family val="3"/>
        <charset val="129"/>
      </rPr>
      <t>월 평균 금액</t>
    </r>
    <r>
      <rPr>
        <b/>
        <sz val="11"/>
        <color rgb="FF000000"/>
        <rFont val="맑은 고딕"/>
        <family val="3"/>
        <charset val="129"/>
      </rPr>
      <t>을 기재하여주시고 없으시면 공란으로 남겨주세요.)</t>
    </r>
  </si>
  <si>
    <t>2. 인원현황 : 정원 기준으로 기재하여 주세요. (시설 및 주간보호만 기재할 것.)</t>
  </si>
  <si>
    <t xml:space="preserve"> ※ 기타전출금은 인건비 및 운영비, 사업비에 영향을 주지 않는 범위에서 편성한다.</t>
  </si>
  <si>
    <t>반드시 대출 목적이 운영비 부족분 사용이어야 하며 통장에 입금되어 사용해야 인정됨.</t>
  </si>
  <si>
    <r>
      <rPr>
        <b/>
        <sz val="10"/>
        <color rgb="FF000000"/>
        <rFont val="맑은 고딕"/>
        <family val="3"/>
        <charset val="129"/>
      </rPr>
      <t xml:space="preserve">★ 기타전입금에 관한 사항 
</t>
    </r>
    <r>
      <rPr>
        <b/>
        <sz val="9"/>
        <color rgb="FF000000"/>
        <rFont val="맑은 고딕"/>
        <family val="3"/>
        <charset val="129"/>
      </rPr>
      <t xml:space="preserve">일시적으로 부족한 </t>
    </r>
    <r>
      <rPr>
        <sz val="9"/>
        <color rgb="FF000000"/>
        <rFont val="맑은 고딕"/>
        <family val="3"/>
        <charset val="129"/>
      </rPr>
      <t>자금은 기타전입금으로 충당 계획입니다.</t>
    </r>
  </si>
  <si>
    <t>6. 종사자 현황 (숫자를 기재해주시고 직종은 수정/편집하여 작성하셔도 됩니다.)</t>
  </si>
  <si>
    <t>입소자 이용료와 공단부담금은 후불이므로 개원 첫 달 필요한 자금은 기타전입금으로 충당 계획입니다.</t>
  </si>
  <si>
    <t>※ 시설 설치 전 차입금(담보대출 등)은 재무회계 규칙상 원금 상환 및 이자 지급이 불가능합니다.</t>
  </si>
  <si>
    <t>2. 채권최고액은 3,360,000,000원입니다.(근저당설정 120%) (부채비율75.9%)</t>
  </si>
  <si>
    <r>
      <rPr>
        <b/>
        <sz val="10"/>
        <color rgb="FF000000"/>
        <rFont val="맑은 고딕"/>
        <family val="3"/>
        <charset val="129"/>
      </rPr>
      <t xml:space="preserve">★ 장기요양급여 수입에 관한 사항 </t>
    </r>
    <r>
      <rPr>
        <sz val="9"/>
        <color rgb="FF000000"/>
        <rFont val="맑은 고딕"/>
        <family val="3"/>
        <charset val="129"/>
      </rPr>
      <t xml:space="preserve">
1개월 평균 산출 내역 : 이용자 59명, 1일 3시간,  월 24일 이용 기준으로 수가 반올림하여 산출하였습니다.</t>
    </r>
  </si>
  <si>
    <t>건물 증축 등 토지, 건물 등 개인소유자산에 대한 대출은 인정안됨.</t>
  </si>
  <si>
    <t>(시설/공동생활가정/주간보호/방문요양/방문목욕/방문간호/복지용구)</t>
  </si>
  <si>
    <t>세입세출Balance가 0보다 작을 경우 차액을 전입금으로 편성함.</t>
  </si>
  <si>
    <t>414 기타보조금</t>
  </si>
  <si>
    <t>811 법인전입금</t>
  </si>
  <si>
    <t>813 기타전입금</t>
  </si>
  <si>
    <t>612 가산급수입</t>
  </si>
  <si>
    <t>911 전년도이월금</t>
  </si>
  <si>
    <t>05 후원금수입</t>
  </si>
  <si>
    <t>61 요양급여수입</t>
  </si>
  <si>
    <t>712 기타차입금</t>
  </si>
  <si>
    <t>511 지정후원금</t>
  </si>
  <si>
    <t>31 과년도수입</t>
  </si>
  <si>
    <t>51 후원금수입</t>
  </si>
  <si>
    <t>311 과년도수입</t>
  </si>
  <si>
    <t>711 금융기관차입금</t>
  </si>
  <si>
    <t>211 사업수입</t>
  </si>
  <si>
    <t>512 비지정후원금</t>
  </si>
  <si>
    <t>06 요양급여수입</t>
  </si>
  <si>
    <t>114 이미용비</t>
  </si>
  <si>
    <t>1011 불용품매각대</t>
  </si>
  <si>
    <t>세 입 예 산 서</t>
  </si>
  <si>
    <t>1014 기타잡수입</t>
  </si>
  <si>
    <t>세 출 예 산 서</t>
  </si>
  <si>
    <t xml:space="preserve">촉탁진료비 등  </t>
  </si>
  <si>
    <t xml:space="preserve">고용지원금 외  </t>
  </si>
  <si>
    <t>미라재가복지센터</t>
  </si>
  <si>
    <t xml:space="preserve">전년도 이월금  </t>
  </si>
  <si>
    <t>※ 텍스트 변환</t>
  </si>
  <si>
    <t xml:space="preserve">기타예금이자  </t>
  </si>
  <si>
    <t>212 자산취득비</t>
  </si>
  <si>
    <t xml:space="preserve">비지정후원금  </t>
  </si>
  <si>
    <t>예산액 및 산출기초</t>
  </si>
  <si>
    <t xml:space="preserve">급여(직접비)  </t>
  </si>
  <si>
    <t>1. 기본 정보</t>
  </si>
  <si>
    <t xml:space="preserve">불용품매각대  </t>
  </si>
  <si>
    <t xml:space="preserve">운영충당적립금  </t>
  </si>
  <si>
    <t>121 기관운영비</t>
  </si>
  <si>
    <t>137 기타운영비</t>
  </si>
  <si>
    <t>361 대여용구취득비</t>
  </si>
  <si>
    <t xml:space="preserve">각종수당(간접비)  </t>
  </si>
  <si>
    <t xml:space="preserve">정부보조금 반환금  </t>
  </si>
  <si>
    <t>112 각종수당</t>
  </si>
  <si>
    <t>122 직책보조비</t>
  </si>
  <si>
    <t>116 사회보험부담금</t>
  </si>
  <si>
    <t>911 운영충당적립금</t>
  </si>
  <si>
    <t>12 업무추진비</t>
  </si>
  <si>
    <t xml:space="preserve">급여(간접비)  </t>
  </si>
  <si>
    <t xml:space="preserve">소규모수선비  </t>
  </si>
  <si>
    <t xml:space="preserve">사무실관리비 등  </t>
  </si>
  <si>
    <t xml:space="preserve">환경개선준비금  </t>
  </si>
  <si>
    <t>213 시설장비유지비</t>
  </si>
  <si>
    <t>362 판매용구취득비</t>
  </si>
  <si>
    <t>411 법인전출금</t>
  </si>
  <si>
    <t>36 복지용구취득비</t>
  </si>
  <si>
    <t>611 원금상환금</t>
  </si>
  <si>
    <t xml:space="preserve">판매용구 취득  </t>
  </si>
  <si>
    <t xml:space="preserve">생계비(일반)  </t>
  </si>
  <si>
    <t>318 특별급식비</t>
  </si>
  <si>
    <t>02 재산조성비</t>
  </si>
  <si>
    <t>생계비(기초수급자)</t>
  </si>
  <si>
    <t xml:space="preserve">생계비(이월)  </t>
  </si>
  <si>
    <t xml:space="preserve">전기요금 등  </t>
  </si>
  <si>
    <t>312 수용기관경비</t>
  </si>
  <si>
    <t xml:space="preserve">기타 수용비  </t>
  </si>
  <si>
    <t>81 예비비 및 기타</t>
  </si>
  <si>
    <t xml:space="preserve">생계비(직원)  </t>
  </si>
  <si>
    <t xml:space="preserve">대여용구 취득  </t>
  </si>
  <si>
    <t xml:space="preserve">대표자로의 전출금  </t>
  </si>
  <si>
    <t>세입 세출 예산서</t>
  </si>
  <si>
    <t>08 예비비 및 기타</t>
  </si>
  <si>
    <t>61 부채상환금</t>
  </si>
  <si>
    <t>612 이자지불금</t>
  </si>
  <si>
    <t xml:space="preserve">차입금 원금상환금  </t>
  </si>
  <si>
    <t>412 기타전출금</t>
  </si>
  <si>
    <t xml:space="preserve">법인으로의 전출금  </t>
  </si>
  <si>
    <t>사회복지시설회계규칙</t>
  </si>
  <si>
    <t>412 시도보조금</t>
  </si>
  <si>
    <t>331 프로그램사업비</t>
  </si>
  <si>
    <t xml:space="preserve">차입금 이자지급금  </t>
  </si>
  <si>
    <t>51 과년도 지출</t>
  </si>
  <si>
    <t>511 과년도 지출</t>
  </si>
  <si>
    <t xml:space="preserve"> 당해년도 예비비는</t>
  </si>
  <si>
    <t>05 과년도지출</t>
  </si>
  <si>
    <t>111 본인부담금수입</t>
  </si>
  <si>
    <t>세입(본인+장기)</t>
  </si>
  <si>
    <t>112 식재료비수입</t>
  </si>
  <si>
    <t>(단위 : 원)</t>
  </si>
  <si>
    <t xml:space="preserve"> 당해년도 전입금은</t>
  </si>
  <si>
    <t xml:space="preserve">이용자,직원 선물 </t>
  </si>
  <si>
    <t>04 보조금수입</t>
  </si>
  <si>
    <t>41 보조금수입</t>
  </si>
  <si>
    <t>03 과년도수입</t>
  </si>
  <si>
    <t>(단위 : 천원)</t>
  </si>
  <si>
    <t>413 시군구보조금</t>
  </si>
  <si>
    <t>113 상급침실이용료</t>
  </si>
  <si>
    <t>115 기타비급여수입</t>
  </si>
  <si>
    <t>411 국고보조금</t>
  </si>
  <si>
    <t>월 평균 본인부담금</t>
  </si>
  <si>
    <t>기타비급여(월)</t>
  </si>
  <si>
    <t>이자지불액(월)</t>
  </si>
  <si>
    <t>월 평균 공단급여</t>
  </si>
  <si>
    <t>월 평균 가산금</t>
  </si>
  <si>
    <t>국민연금(직접비)</t>
  </si>
  <si>
    <t>세출(직접인건비)</t>
  </si>
  <si>
    <t>고용보험(간접비)</t>
  </si>
  <si>
    <t>그 외 미분류 경비</t>
  </si>
  <si>
    <t>기관운영비 소계</t>
  </si>
  <si>
    <t>원금상황액(월)</t>
  </si>
  <si>
    <t>요양보호사 급여 총액</t>
  </si>
  <si>
    <t xml:space="preserve">사회보험(직접비)  </t>
  </si>
  <si>
    <t>건강보험(직접비)</t>
  </si>
  <si>
    <t>산재보험(직접비)</t>
  </si>
  <si>
    <t>직원 건강 및 복지</t>
  </si>
  <si>
    <t xml:space="preserve">사회보험(간접비)  </t>
  </si>
  <si>
    <t xml:space="preserve">시설장(직원)) </t>
  </si>
  <si>
    <t>대외 방문 상담 경비</t>
  </si>
  <si>
    <t>퇴직금(간접비)</t>
  </si>
  <si>
    <t>국민연금(간접비)</t>
  </si>
  <si>
    <t>단기보호(1일 기준)</t>
  </si>
  <si>
    <t>차량이용(차랑내)</t>
  </si>
  <si>
    <t>적립금 및 준비금</t>
  </si>
  <si>
    <t>건강보험(간접비)</t>
  </si>
  <si>
    <t>산재보험(간접비)</t>
  </si>
  <si>
    <t>외부강사비(신체)</t>
  </si>
  <si>
    <t>고용보험(직접비)</t>
  </si>
  <si>
    <t>사회보험(직접비)</t>
  </si>
  <si>
    <t>사회보험(간접비)</t>
  </si>
  <si>
    <t>외부강사비(인지)</t>
  </si>
  <si>
    <t>요양보호사(평균)</t>
  </si>
  <si>
    <t>180분(3시간)수가</t>
  </si>
  <si>
    <t>프로그램 사업비 소계</t>
  </si>
  <si>
    <t>은성재가복지센터</t>
  </si>
  <si>
    <t>퇴직금(직접비)</t>
  </si>
  <si>
    <t>각종수당(간접비)</t>
  </si>
  <si>
    <t>방문간호(1건 기준)</t>
  </si>
  <si>
    <t>차량이용(가정내)</t>
  </si>
  <si>
    <t>시설환경개선준비금</t>
  </si>
  <si>
    <t>각종수당(직접비)</t>
  </si>
  <si>
    <t>공공요금및각종세금</t>
  </si>
  <si>
    <t>월평균 본인부담금</t>
  </si>
  <si>
    <t>프로그램 재료비</t>
  </si>
  <si>
    <t>물리(작업)치료사</t>
  </si>
  <si>
    <t xml:space="preserve">  장기요양급여</t>
  </si>
  <si>
    <t>집계 오류 검증</t>
  </si>
  <si>
    <t>원×</t>
  </si>
  <si>
    <t>항목</t>
  </si>
  <si>
    <t>전출금</t>
  </si>
  <si>
    <t>사업비</t>
  </si>
  <si>
    <t>잡수입</t>
  </si>
  <si>
    <t>잡지출</t>
  </si>
  <si>
    <t>사무비</t>
  </si>
  <si>
    <t>항</t>
  </si>
  <si>
    <t>차입금</t>
  </si>
  <si>
    <t>센터장</t>
  </si>
  <si>
    <t>비율</t>
  </si>
  <si>
    <t>=</t>
  </si>
  <si>
    <t>직종</t>
  </si>
  <si>
    <t>예산액</t>
  </si>
  <si>
    <t>구분</t>
  </si>
  <si>
    <t>생계비</t>
  </si>
  <si>
    <t>전입금</t>
  </si>
  <si>
    <t>준비금</t>
  </si>
  <si>
    <t>관</t>
  </si>
  <si>
    <t>이다.</t>
  </si>
  <si>
    <t>담당</t>
  </si>
  <si>
    <t>예비비</t>
  </si>
  <si>
    <t>총계</t>
  </si>
  <si>
    <t>상환금</t>
  </si>
  <si>
    <t>합계</t>
  </si>
  <si>
    <t>기관명</t>
  </si>
  <si>
    <t>회의비</t>
  </si>
  <si>
    <t>명×</t>
  </si>
  <si>
    <t>소계</t>
  </si>
  <si>
    <t>정원</t>
  </si>
  <si>
    <t>개월수</t>
  </si>
  <si>
    <t>년도</t>
  </si>
  <si>
    <t>이월금</t>
  </si>
  <si>
    <t>금액</t>
  </si>
  <si>
    <t>위생원</t>
  </si>
  <si>
    <t>시설</t>
  </si>
  <si>
    <t>대표</t>
  </si>
  <si>
    <t>목</t>
  </si>
  <si>
    <t>적립금</t>
  </si>
  <si>
    <t>월 =</t>
  </si>
  <si>
    <t>÷</t>
  </si>
  <si>
    <t>운전원</t>
  </si>
  <si>
    <t>세입</t>
  </si>
  <si>
    <t>반환금</t>
  </si>
  <si>
    <t>간접비</t>
  </si>
  <si>
    <t>인건비</t>
  </si>
  <si>
    <t>비고</t>
  </si>
  <si>
    <t>의료비</t>
  </si>
  <si>
    <t>운영비</t>
  </si>
  <si>
    <t>총인원</t>
  </si>
  <si>
    <t>수가</t>
  </si>
  <si>
    <t>관리인</t>
  </si>
  <si>
    <t>조리원</t>
  </si>
  <si>
    <t>인원</t>
  </si>
  <si>
    <t>대출금</t>
  </si>
  <si>
    <t>등급</t>
  </si>
  <si>
    <t>급여</t>
  </si>
  <si>
    <t>행사비</t>
  </si>
  <si>
    <t>여비</t>
  </si>
  <si>
    <t>시설비</t>
  </si>
  <si>
    <t>위생인</t>
  </si>
  <si>
    <t>산출식</t>
  </si>
  <si>
    <t>사무원</t>
  </si>
  <si>
    <t>공생</t>
  </si>
  <si>
    <t>일</t>
  </si>
  <si>
    <t>명수</t>
  </si>
  <si>
    <t>직접비</t>
  </si>
  <si>
    <t>×</t>
  </si>
  <si>
    <t>월</t>
  </si>
  <si>
    <t>연번</t>
  </si>
  <si>
    <t>임차료</t>
  </si>
  <si>
    <t>세출</t>
  </si>
  <si>
    <t>후원금</t>
  </si>
  <si>
    <t>차량비</t>
  </si>
  <si>
    <t xml:space="preserve">     10월1일 ~ 12월31일</t>
  </si>
  <si>
    <t xml:space="preserve">시설자산 등의 수선,유지보수비  </t>
  </si>
  <si>
    <t xml:space="preserve">대표자로 부터의 전입(후원금)  </t>
  </si>
  <si>
    <t>01 입소자(이용자)부담금수입</t>
  </si>
  <si>
    <t>913 전년도이월금(식재료비)</t>
  </si>
  <si>
    <t>직접 종사자 인건비 지출 예산 총액</t>
  </si>
  <si>
    <t xml:space="preserve"> 당해년도 운영비 부족 부채는 </t>
  </si>
  <si>
    <t>예산 BALNCE / 자동 분류표</t>
  </si>
  <si>
    <t>요양보호사 1인당 월간 급여 산정</t>
  </si>
  <si>
    <t>5. 대출 계획 및 상환 계획</t>
  </si>
  <si>
    <t>133 공공요금 및 제세공과금</t>
  </si>
  <si>
    <t xml:space="preserve">법인으로 부터의 전입(후원금)  </t>
  </si>
  <si>
    <t>2. 직접종사자 인건비 지출 예산</t>
  </si>
  <si>
    <t>급여 유형별 수가 / 인건비비율</t>
  </si>
  <si>
    <t>요양보호사 1인당 월간 급여(안분)</t>
  </si>
  <si>
    <t xml:space="preserve">입소자(이용자) 수용비(치약, 칫솔, 수건 등)  </t>
  </si>
  <si>
    <r>
      <t xml:space="preserve">3-2. 비급여항목 (해당시 </t>
    </r>
    <r>
      <rPr>
        <b/>
        <u/>
        <sz val="11"/>
        <color rgb="FFFF0000"/>
        <rFont val="맑은 고딕"/>
        <family val="3"/>
        <charset val="129"/>
      </rPr>
      <t>월 평균 금액을 기재</t>
    </r>
    <r>
      <rPr>
        <b/>
        <sz val="11"/>
        <color rgb="FF000000"/>
        <rFont val="맑은 고딕"/>
        <family val="3"/>
        <charset val="129"/>
      </rPr>
      <t>)</t>
    </r>
  </si>
  <si>
    <t>당해년도 직접종사자 인건비 비율은 다음과 같다.</t>
  </si>
  <si>
    <t xml:space="preserve">보일러 및 난방시설, 취사에 필요한 연료비    </t>
  </si>
  <si>
    <t xml:space="preserve">입소자(이용자)의 보건위생 및 시약대 등  </t>
  </si>
  <si>
    <t>세입 세출 예산 총액 (단위 : 천원)</t>
  </si>
  <si>
    <t xml:space="preserve"> 세입 세출 예산 총액은 다음과 같다.</t>
  </si>
  <si>
    <t xml:space="preserve">  임금 총액의 4% (요양보험 포함) =</t>
  </si>
  <si>
    <t>3. 당해년도 직접 종사자 인건비 비율은</t>
  </si>
  <si>
    <t>항목은 추가/수정하여 작성하여도 됩니다.</t>
  </si>
  <si>
    <t>91 운영충당적립금 및 환경개선준비금</t>
  </si>
  <si>
    <t xml:space="preserve">과년도 미지급금 및 과년도사업비의 지출  </t>
  </si>
  <si>
    <t>(사회복지시설정보시스템 코드 5자리 기재)</t>
  </si>
  <si>
    <r>
      <t xml:space="preserve"> 회계연도는</t>
    </r>
    <r>
      <rPr>
        <b/>
        <sz val="11"/>
        <color rgb="FF0033CC"/>
        <rFont val="맑은 고딕"/>
        <family val="3"/>
        <charset val="129"/>
      </rPr>
      <t xml:space="preserve"> 10월 1일부터</t>
    </r>
    <r>
      <rPr>
        <b/>
        <sz val="11"/>
        <color rgb="FF000000"/>
        <rFont val="맑은 고딕"/>
        <family val="3"/>
        <charset val="129"/>
      </rPr>
      <t xml:space="preserve"> 12월 31일까지로 한다.</t>
    </r>
    <phoneticPr fontId="16" type="noConversion"/>
  </si>
  <si>
    <t xml:space="preserve"> </t>
    <phoneticPr fontId="16" type="noConversion"/>
  </si>
  <si>
    <t>직원포상(복리후생)</t>
    <phoneticPr fontId="16" type="noConversion"/>
  </si>
  <si>
    <t>월평균 장기요양급여</t>
    <phoneticPr fontId="16" type="noConversion"/>
  </si>
  <si>
    <t xml:space="preserve">       1500000  원       1   회</t>
    <phoneticPr fontId="16" type="noConversion"/>
  </si>
  <si>
    <t xml:space="preserve">비품 등의 자산 취득비  </t>
    <phoneticPr fontId="16" type="noConversion"/>
  </si>
  <si>
    <t>10월01일 ~ 12월31일</t>
    <phoneticPr fontId="16" type="noConversion"/>
  </si>
  <si>
    <t xml:space="preserve">센터가 지출하는 보상금, 사례금, 소송경비 등  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</si>
</sst>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_);[Red]\(0\)"/>
    <numFmt numFmtId="178" formatCode="0.0%"/>
    <numFmt numFmtId="179" formatCode="0_ "/>
    <numFmt numFmtId="180" formatCode="00"/>
    <numFmt numFmtId="181" formatCode="#,##0.0_ "/>
  </numFmts>
  <fonts count="20" x14ac:knownFonts="1">
    <font>
      <sz val="11"/>
      <color rgb="FF000000"/>
      <name val="맑은 고딕"/>
    </font>
    <font>
      <b/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286892"/>
      <name val="굴림체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굴림체"/>
      <family val="3"/>
      <charset val="129"/>
    </font>
    <font>
      <b/>
      <sz val="2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u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33CC"/>
      <name val="맑은 고딕"/>
      <family val="3"/>
      <charset val="129"/>
    </font>
    <font>
      <sz val="9"/>
      <color rgb="FF0033CC"/>
      <name val="맑은 고딕"/>
      <family val="3"/>
      <charset val="129"/>
    </font>
    <font>
      <b/>
      <sz val="9"/>
      <color rgb="FF0033CC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29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NumberFormat="1" applyAlignment="1" applyProtection="1">
      <alignment vertical="center"/>
      <protection hidden="1"/>
    </xf>
    <xf numFmtId="0" fontId="4" fillId="0" borderId="1" xfId="0" applyNumberFormat="1" applyFont="1" applyBorder="1" applyAlignment="1" applyProtection="1">
      <alignment vertical="center" shrinkToFit="1"/>
      <protection hidden="1"/>
    </xf>
    <xf numFmtId="0" fontId="5" fillId="0" borderId="0" xfId="0" applyNumberFormat="1" applyFont="1" applyAlignment="1" applyProtection="1">
      <alignment vertical="center"/>
      <protection hidden="1"/>
    </xf>
    <xf numFmtId="0" fontId="5" fillId="0" borderId="2" xfId="0" applyNumberFormat="1" applyFont="1" applyBorder="1" applyAlignment="1" applyProtection="1">
      <alignment vertical="center" shrinkToFit="1"/>
      <protection hidden="1"/>
    </xf>
    <xf numFmtId="0" fontId="5" fillId="2" borderId="2" xfId="0" applyNumberFormat="1" applyFont="1" applyFill="1" applyBorder="1" applyAlignment="1" applyProtection="1">
      <alignment vertical="center" shrinkToFit="1"/>
      <protection hidden="1"/>
    </xf>
    <xf numFmtId="0" fontId="5" fillId="0" borderId="3" xfId="0" applyNumberFormat="1" applyFont="1" applyBorder="1" applyAlignment="1" applyProtection="1">
      <alignment vertical="center" shrinkToFit="1"/>
      <protection hidden="1"/>
    </xf>
    <xf numFmtId="176" fontId="5" fillId="0" borderId="0" xfId="0" applyNumberFormat="1" applyFont="1" applyAlignment="1" applyProtection="1">
      <alignment vertical="center"/>
      <protection hidden="1"/>
    </xf>
    <xf numFmtId="0" fontId="5" fillId="0" borderId="0" xfId="0" applyNumberFormat="1" applyFont="1" applyAlignment="1" applyProtection="1">
      <alignment vertical="center" shrinkToFit="1"/>
      <protection hidden="1"/>
    </xf>
    <xf numFmtId="0" fontId="5" fillId="0" borderId="4" xfId="0" applyNumberFormat="1" applyFont="1" applyBorder="1" applyAlignment="1" applyProtection="1">
      <alignment vertical="center" shrinkToFit="1"/>
      <protection hidden="1"/>
    </xf>
    <xf numFmtId="176" fontId="5" fillId="0" borderId="0" xfId="0" applyNumberFormat="1" applyFont="1" applyAlignment="1" applyProtection="1">
      <alignment vertical="center" shrinkToFit="1"/>
      <protection hidden="1"/>
    </xf>
    <xf numFmtId="0" fontId="5" fillId="0" borderId="5" xfId="0" applyNumberFormat="1" applyFont="1" applyBorder="1" applyAlignment="1" applyProtection="1">
      <alignment vertical="center" shrinkToFit="1"/>
      <protection hidden="1"/>
    </xf>
    <xf numFmtId="0" fontId="5" fillId="0" borderId="1" xfId="0" applyNumberFormat="1" applyFont="1" applyBorder="1" applyAlignment="1" applyProtection="1">
      <alignment vertical="center" shrinkToFit="1"/>
      <protection hidden="1"/>
    </xf>
    <xf numFmtId="0" fontId="5" fillId="0" borderId="6" xfId="0" applyNumberFormat="1" applyFont="1" applyBorder="1" applyAlignment="1" applyProtection="1">
      <alignment vertical="center" shrinkToFit="1"/>
      <protection hidden="1"/>
    </xf>
    <xf numFmtId="0" fontId="5" fillId="2" borderId="5" xfId="0" applyNumberFormat="1" applyFont="1" applyFill="1" applyBorder="1" applyAlignment="1" applyProtection="1">
      <alignment vertical="center" shrinkToFit="1"/>
      <protection hidden="1"/>
    </xf>
    <xf numFmtId="176" fontId="5" fillId="0" borderId="7" xfId="0" applyNumberFormat="1" applyFont="1" applyBorder="1" applyAlignment="1" applyProtection="1">
      <alignment vertical="center" shrinkToFit="1"/>
      <protection hidden="1"/>
    </xf>
    <xf numFmtId="0" fontId="5" fillId="0" borderId="8" xfId="0" applyNumberFormat="1" applyFont="1" applyBorder="1" applyAlignment="1" applyProtection="1">
      <alignment vertical="center" shrinkToFit="1"/>
      <protection hidden="1"/>
    </xf>
    <xf numFmtId="0" fontId="5" fillId="0" borderId="9" xfId="0" applyNumberFormat="1" applyFont="1" applyBorder="1" applyAlignment="1" applyProtection="1">
      <alignment vertical="center" shrinkToFit="1"/>
      <protection hidden="1"/>
    </xf>
    <xf numFmtId="0" fontId="6" fillId="0" borderId="3" xfId="0" applyNumberFormat="1" applyFont="1" applyBorder="1" applyAlignment="1" applyProtection="1">
      <alignment vertical="center" shrinkToFit="1"/>
      <protection hidden="1"/>
    </xf>
    <xf numFmtId="0" fontId="5" fillId="2" borderId="8" xfId="0" applyNumberFormat="1" applyFont="1" applyFill="1" applyBorder="1" applyAlignment="1" applyProtection="1">
      <alignment vertical="center" shrinkToFit="1"/>
      <protection hidden="1"/>
    </xf>
    <xf numFmtId="0" fontId="5" fillId="2" borderId="3" xfId="0" applyNumberFormat="1" applyFont="1" applyFill="1" applyBorder="1" applyAlignment="1" applyProtection="1">
      <alignment vertical="center" shrinkToFit="1"/>
      <protection hidden="1"/>
    </xf>
    <xf numFmtId="0" fontId="5" fillId="2" borderId="9" xfId="0" applyNumberFormat="1" applyFont="1" applyFill="1" applyBorder="1" applyAlignment="1" applyProtection="1">
      <alignment vertical="center" shrinkToFit="1"/>
      <protection hidden="1"/>
    </xf>
    <xf numFmtId="0" fontId="6" fillId="0" borderId="2" xfId="0" applyNumberFormat="1" applyFont="1" applyBorder="1" applyAlignment="1" applyProtection="1">
      <alignment vertical="center" shrinkToFit="1"/>
      <protection hidden="1"/>
    </xf>
    <xf numFmtId="0" fontId="6" fillId="0" borderId="0" xfId="0" applyNumberFormat="1" applyFont="1" applyAlignment="1" applyProtection="1">
      <alignment vertical="center" shrinkToFit="1"/>
      <protection hidden="1"/>
    </xf>
    <xf numFmtId="176" fontId="5" fillId="3" borderId="0" xfId="0" applyNumberFormat="1" applyFont="1" applyFill="1" applyAlignment="1" applyProtection="1">
      <alignment vertical="center" shrinkToFit="1"/>
      <protection hidden="1"/>
    </xf>
    <xf numFmtId="176" fontId="5" fillId="3" borderId="1" xfId="0" applyNumberFormat="1" applyFont="1" applyFill="1" applyBorder="1" applyAlignment="1" applyProtection="1">
      <alignment vertical="center" shrinkToFit="1"/>
      <protection hidden="1"/>
    </xf>
    <xf numFmtId="176" fontId="6" fillId="4" borderId="0" xfId="0" applyNumberFormat="1" applyFont="1" applyFill="1" applyAlignment="1" applyProtection="1">
      <alignment vertical="center" shrinkToFit="1"/>
      <protection hidden="1"/>
    </xf>
    <xf numFmtId="0" fontId="5" fillId="2" borderId="10" xfId="0" applyNumberFormat="1" applyFont="1" applyFill="1" applyBorder="1" applyAlignment="1" applyProtection="1">
      <alignment vertical="center" shrinkToFit="1"/>
      <protection hidden="1"/>
    </xf>
    <xf numFmtId="0" fontId="5" fillId="2" borderId="11" xfId="0" applyNumberFormat="1" applyFont="1" applyFill="1" applyBorder="1" applyAlignment="1" applyProtection="1">
      <alignment vertical="center" shrinkToFit="1"/>
      <protection hidden="1"/>
    </xf>
    <xf numFmtId="176" fontId="5" fillId="0" borderId="3" xfId="0" applyNumberFormat="1" applyFont="1" applyBorder="1" applyAlignment="1" applyProtection="1">
      <alignment vertical="center" shrinkToFit="1"/>
      <protection hidden="1"/>
    </xf>
    <xf numFmtId="176" fontId="5" fillId="0" borderId="1" xfId="0" applyNumberFormat="1" applyFont="1" applyBorder="1" applyAlignment="1" applyProtection="1">
      <alignment vertical="center" shrinkToFit="1"/>
      <protection hidden="1"/>
    </xf>
    <xf numFmtId="0" fontId="5" fillId="0" borderId="7" xfId="0" applyNumberFormat="1" applyFont="1" applyBorder="1" applyAlignment="1" applyProtection="1">
      <alignment vertical="center" shrinkToFit="1"/>
      <protection hidden="1"/>
    </xf>
    <xf numFmtId="0" fontId="5" fillId="0" borderId="0" xfId="0" applyNumberFormat="1" applyFont="1" applyAlignment="1" applyProtection="1">
      <alignment horizontal="left" vertical="center" indent="1" shrinkToFit="1"/>
      <protection hidden="1"/>
    </xf>
    <xf numFmtId="0" fontId="5" fillId="0" borderId="2" xfId="0" applyNumberFormat="1" applyFont="1" applyBorder="1" applyAlignment="1" applyProtection="1">
      <alignment horizontal="left" vertical="center" indent="1" shrinkToFit="1"/>
      <protection hidden="1"/>
    </xf>
    <xf numFmtId="0" fontId="5" fillId="0" borderId="4" xfId="0" applyNumberFormat="1" applyFont="1" applyBorder="1" applyAlignment="1" applyProtection="1">
      <alignment horizontal="left" vertical="center" indent="1" shrinkToFit="1"/>
      <protection hidden="1"/>
    </xf>
    <xf numFmtId="0" fontId="5" fillId="0" borderId="5" xfId="0" applyNumberFormat="1" applyFont="1" applyBorder="1" applyAlignment="1" applyProtection="1">
      <alignment horizontal="left" vertical="center" indent="1" shrinkToFit="1"/>
      <protection hidden="1"/>
    </xf>
    <xf numFmtId="0" fontId="5" fillId="0" borderId="1" xfId="0" applyNumberFormat="1" applyFont="1" applyBorder="1" applyAlignment="1" applyProtection="1">
      <alignment horizontal="left" vertical="center" indent="1" shrinkToFit="1"/>
      <protection hidden="1"/>
    </xf>
    <xf numFmtId="0" fontId="5" fillId="0" borderId="6" xfId="0" applyNumberFormat="1" applyFont="1" applyBorder="1" applyAlignment="1" applyProtection="1">
      <alignment horizontal="left" vertical="center" indent="1" shrinkToFit="1"/>
      <protection hidden="1"/>
    </xf>
    <xf numFmtId="0" fontId="5" fillId="5" borderId="0" xfId="0" applyNumberFormat="1" applyFont="1" applyFill="1" applyAlignment="1" applyProtection="1">
      <alignment vertical="center"/>
      <protection hidden="1"/>
    </xf>
    <xf numFmtId="176" fontId="5" fillId="5" borderId="0" xfId="0" applyNumberFormat="1" applyFont="1" applyFill="1" applyAlignment="1" applyProtection="1">
      <alignment vertical="center"/>
      <protection hidden="1"/>
    </xf>
    <xf numFmtId="0" fontId="6" fillId="2" borderId="8" xfId="0" applyNumberFormat="1" applyFont="1" applyFill="1" applyBorder="1" applyAlignment="1" applyProtection="1">
      <alignment vertical="center" shrinkToFit="1"/>
      <protection hidden="1"/>
    </xf>
    <xf numFmtId="0" fontId="6" fillId="2" borderId="3" xfId="0" applyNumberFormat="1" applyFont="1" applyFill="1" applyBorder="1" applyAlignment="1" applyProtection="1">
      <alignment vertical="center" shrinkToFit="1"/>
      <protection hidden="1"/>
    </xf>
    <xf numFmtId="0" fontId="6" fillId="2" borderId="9" xfId="0" applyNumberFormat="1" applyFont="1" applyFill="1" applyBorder="1" applyAlignment="1" applyProtection="1">
      <alignment vertical="center" shrinkToFit="1"/>
      <protection hidden="1"/>
    </xf>
    <xf numFmtId="0" fontId="2" fillId="6" borderId="0" xfId="0" applyNumberFormat="1" applyFont="1" applyFill="1" applyAlignment="1" applyProtection="1">
      <alignment vertical="center"/>
      <protection hidden="1"/>
    </xf>
    <xf numFmtId="0" fontId="0" fillId="6" borderId="0" xfId="0" applyNumberFormat="1" applyFill="1" applyAlignment="1" applyProtection="1">
      <alignment vertical="center"/>
      <protection hidden="1"/>
    </xf>
    <xf numFmtId="0" fontId="7" fillId="0" borderId="0" xfId="0" applyNumberFormat="1" applyFont="1" applyAlignment="1">
      <alignment vertical="center" shrinkToFit="1"/>
    </xf>
    <xf numFmtId="0" fontId="5" fillId="0" borderId="0" xfId="0" applyNumberFormat="1" applyFont="1" applyAlignment="1">
      <alignment vertical="center" shrinkToFit="1"/>
    </xf>
    <xf numFmtId="0" fontId="5" fillId="7" borderId="12" xfId="0" applyNumberFormat="1" applyFont="1" applyFill="1" applyBorder="1" applyAlignment="1">
      <alignment vertical="center" shrinkToFit="1"/>
    </xf>
    <xf numFmtId="0" fontId="5" fillId="7" borderId="12" xfId="0" applyNumberFormat="1" applyFont="1" applyFill="1" applyBorder="1" applyAlignment="1">
      <alignment horizontal="center" vertical="center" shrinkToFit="1"/>
    </xf>
    <xf numFmtId="0" fontId="5" fillId="0" borderId="12" xfId="0" applyNumberFormat="1" applyFont="1" applyBorder="1" applyAlignment="1">
      <alignment horizontal="center" vertical="center" shrinkToFit="1"/>
    </xf>
    <xf numFmtId="176" fontId="5" fillId="4" borderId="12" xfId="0" applyNumberFormat="1" applyFont="1" applyFill="1" applyBorder="1" applyAlignment="1">
      <alignment horizontal="center" vertical="center" shrinkToFit="1"/>
    </xf>
    <xf numFmtId="176" fontId="5" fillId="0" borderId="12" xfId="0" applyNumberFormat="1" applyFont="1" applyBorder="1" applyAlignment="1">
      <alignment horizontal="center" vertical="center" shrinkToFit="1"/>
    </xf>
    <xf numFmtId="176" fontId="5" fillId="7" borderId="12" xfId="0" applyNumberFormat="1" applyFont="1" applyFill="1" applyBorder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176" fontId="5" fillId="0" borderId="12" xfId="0" applyNumberFormat="1" applyFont="1" applyBorder="1" applyAlignment="1">
      <alignment vertical="center" shrinkToFit="1"/>
    </xf>
    <xf numFmtId="0" fontId="3" fillId="0" borderId="0" xfId="0" applyNumberFormat="1" applyFont="1" applyAlignment="1">
      <alignment horizontal="center" vertical="center" shrinkToFit="1"/>
    </xf>
    <xf numFmtId="0" fontId="5" fillId="2" borderId="13" xfId="0" applyNumberFormat="1" applyFont="1" applyFill="1" applyBorder="1" applyAlignment="1" applyProtection="1">
      <alignment vertical="center" shrinkToFit="1"/>
      <protection hidden="1"/>
    </xf>
    <xf numFmtId="0" fontId="5" fillId="2" borderId="7" xfId="0" applyNumberFormat="1" applyFont="1" applyFill="1" applyBorder="1" applyAlignment="1" applyProtection="1">
      <alignment vertical="center" shrinkToFit="1"/>
      <protection hidden="1"/>
    </xf>
    <xf numFmtId="0" fontId="5" fillId="2" borderId="14" xfId="0" applyNumberFormat="1" applyFont="1" applyFill="1" applyBorder="1" applyAlignment="1" applyProtection="1">
      <alignment vertical="center" shrinkToFit="1"/>
      <protection hidden="1"/>
    </xf>
    <xf numFmtId="0" fontId="6" fillId="2" borderId="7" xfId="0" applyNumberFormat="1" applyFont="1" applyFill="1" applyBorder="1" applyAlignment="1" applyProtection="1">
      <alignment vertical="center" shrinkToFit="1"/>
      <protection hidden="1"/>
    </xf>
    <xf numFmtId="0" fontId="2" fillId="7" borderId="12" xfId="0" applyNumberFormat="1" applyFont="1" applyFill="1" applyBorder="1" applyAlignment="1">
      <alignment horizontal="center" vertical="center" shrinkToFit="1"/>
    </xf>
    <xf numFmtId="0" fontId="2" fillId="0" borderId="12" xfId="0" applyNumberFormat="1" applyFont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176" fontId="5" fillId="4" borderId="12" xfId="0" applyNumberFormat="1" applyFont="1" applyFill="1" applyBorder="1" applyAlignment="1">
      <alignment vertical="center" shrinkToFit="1"/>
    </xf>
    <xf numFmtId="0" fontId="5" fillId="4" borderId="12" xfId="0" applyNumberFormat="1" applyFont="1" applyFill="1" applyBorder="1" applyAlignment="1">
      <alignment horizontal="center" vertical="center" shrinkToFit="1"/>
    </xf>
    <xf numFmtId="0" fontId="8" fillId="0" borderId="15" xfId="0" applyNumberFormat="1" applyFont="1" applyBorder="1" applyAlignment="1">
      <alignment horizontal="center" vertical="center" wrapText="1"/>
    </xf>
    <xf numFmtId="179" fontId="5" fillId="0" borderId="0" xfId="0" applyNumberFormat="1" applyFont="1" applyAlignment="1">
      <alignment vertical="center" shrinkToFit="1"/>
    </xf>
    <xf numFmtId="0" fontId="6" fillId="4" borderId="12" xfId="0" applyNumberFormat="1" applyFont="1" applyFill="1" applyBorder="1" applyAlignment="1" applyProtection="1">
      <alignment vertical="center" shrinkToFit="1"/>
      <protection hidden="1"/>
    </xf>
    <xf numFmtId="176" fontId="7" fillId="0" borderId="12" xfId="0" applyNumberFormat="1" applyFont="1" applyBorder="1" applyAlignment="1">
      <alignment vertical="center" shrinkToFit="1"/>
    </xf>
    <xf numFmtId="0" fontId="6" fillId="0" borderId="0" xfId="0" applyNumberFormat="1" applyFont="1" applyAlignment="1">
      <alignment horizontal="center" vertical="center" shrinkToFit="1"/>
    </xf>
    <xf numFmtId="0" fontId="6" fillId="0" borderId="0" xfId="0" applyNumberFormat="1" applyFont="1" applyAlignment="1">
      <alignment vertical="center" shrinkToFit="1"/>
    </xf>
    <xf numFmtId="178" fontId="6" fillId="4" borderId="12" xfId="0" applyNumberFormat="1" applyFont="1" applyFill="1" applyBorder="1" applyAlignment="1">
      <alignment vertical="center" shrinkToFit="1"/>
    </xf>
    <xf numFmtId="176" fontId="6" fillId="4" borderId="12" xfId="0" applyNumberFormat="1" applyFont="1" applyFill="1" applyBorder="1" applyAlignment="1">
      <alignment vertical="center" shrinkToFit="1"/>
    </xf>
    <xf numFmtId="0" fontId="6" fillId="4" borderId="12" xfId="0" applyNumberFormat="1" applyFont="1" applyFill="1" applyBorder="1" applyAlignment="1">
      <alignment vertical="center" shrinkToFit="1"/>
    </xf>
    <xf numFmtId="176" fontId="6" fillId="4" borderId="12" xfId="0" applyNumberFormat="1" applyFont="1" applyFill="1" applyBorder="1" applyAlignment="1">
      <alignment horizontal="center" vertical="center" shrinkToFit="1"/>
    </xf>
    <xf numFmtId="176" fontId="6" fillId="4" borderId="0" xfId="0" applyNumberFormat="1" applyFont="1" applyFill="1" applyAlignment="1">
      <alignment vertical="center" shrinkToFit="1"/>
    </xf>
    <xf numFmtId="176" fontId="5" fillId="0" borderId="0" xfId="0" applyNumberFormat="1" applyFont="1" applyAlignment="1">
      <alignment vertical="center" shrinkToFit="1"/>
    </xf>
    <xf numFmtId="176" fontId="6" fillId="0" borderId="0" xfId="0" applyNumberFormat="1" applyFont="1" applyAlignment="1">
      <alignment horizontal="center" vertical="center" shrinkToFit="1"/>
    </xf>
    <xf numFmtId="176" fontId="6" fillId="0" borderId="0" xfId="0" applyNumberFormat="1" applyFont="1" applyAlignment="1">
      <alignment vertical="center" shrinkToFit="1"/>
    </xf>
    <xf numFmtId="0" fontId="7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 shrinkToFit="1"/>
    </xf>
    <xf numFmtId="176" fontId="6" fillId="6" borderId="0" xfId="0" applyNumberFormat="1" applyFont="1" applyFill="1" applyAlignment="1" applyProtection="1">
      <alignment vertical="center" shrinkToFit="1"/>
      <protection hidden="1"/>
    </xf>
    <xf numFmtId="0" fontId="5" fillId="0" borderId="0" xfId="0" applyNumberFormat="1" applyFont="1" applyAlignment="1" applyProtection="1">
      <alignment vertical="top" wrapText="1" shrinkToFit="1"/>
      <protection hidden="1"/>
    </xf>
    <xf numFmtId="0" fontId="5" fillId="0" borderId="4" xfId="0" applyNumberFormat="1" applyFont="1" applyBorder="1" applyAlignment="1" applyProtection="1">
      <alignment vertical="top" shrinkToFit="1"/>
      <protection hidden="1"/>
    </xf>
    <xf numFmtId="176" fontId="5" fillId="6" borderId="0" xfId="0" applyNumberFormat="1" applyFont="1" applyFill="1" applyAlignment="1" applyProtection="1">
      <alignment vertical="center" shrinkToFit="1"/>
      <protection hidden="1"/>
    </xf>
    <xf numFmtId="176" fontId="5" fillId="4" borderId="0" xfId="0" applyNumberFormat="1" applyFont="1" applyFill="1" applyAlignment="1" applyProtection="1">
      <alignment vertical="center" shrinkToFit="1"/>
      <protection hidden="1"/>
    </xf>
    <xf numFmtId="0" fontId="5" fillId="0" borderId="4" xfId="0" applyNumberFormat="1" applyFont="1" applyBorder="1" applyAlignment="1" applyProtection="1">
      <alignment vertical="top" wrapText="1" shrinkToFit="1"/>
      <protection hidden="1"/>
    </xf>
    <xf numFmtId="176" fontId="5" fillId="4" borderId="3" xfId="0" applyNumberFormat="1" applyFont="1" applyFill="1" applyBorder="1" applyAlignment="1" applyProtection="1">
      <alignment vertical="center" shrinkToFit="1"/>
      <protection hidden="1"/>
    </xf>
    <xf numFmtId="177" fontId="0" fillId="0" borderId="0" xfId="0" applyNumberFormat="1" applyFont="1" applyAlignment="1">
      <alignment vertical="center" shrinkToFit="1"/>
    </xf>
    <xf numFmtId="177" fontId="7" fillId="0" borderId="0" xfId="0" applyNumberFormat="1" applyFont="1" applyAlignment="1">
      <alignment vertical="center" shrinkToFit="1"/>
    </xf>
    <xf numFmtId="176" fontId="7" fillId="0" borderId="0" xfId="0" applyNumberFormat="1" applyFont="1" applyAlignment="1">
      <alignment vertical="center" shrinkToFit="1"/>
    </xf>
    <xf numFmtId="177" fontId="7" fillId="7" borderId="12" xfId="0" applyNumberFormat="1" applyFont="1" applyFill="1" applyBorder="1" applyAlignment="1">
      <alignment horizontal="center" vertical="center" shrinkToFit="1"/>
    </xf>
    <xf numFmtId="177" fontId="7" fillId="7" borderId="12" xfId="0" applyNumberFormat="1" applyFont="1" applyFill="1" applyBorder="1" applyAlignment="1">
      <alignment horizontal="center" vertical="center" shrinkToFit="1"/>
    </xf>
    <xf numFmtId="176" fontId="7" fillId="0" borderId="12" xfId="0" applyNumberFormat="1" applyFont="1" applyBorder="1" applyAlignment="1">
      <alignment horizontal="center" vertical="center" shrinkToFit="1"/>
    </xf>
    <xf numFmtId="177" fontId="2" fillId="0" borderId="0" xfId="0" applyNumberFormat="1" applyFont="1" applyAlignment="1">
      <alignment vertical="center" shrinkToFit="1"/>
    </xf>
    <xf numFmtId="177" fontId="7" fillId="7" borderId="12" xfId="0" applyNumberFormat="1" applyFont="1" applyFill="1" applyBorder="1" applyAlignment="1">
      <alignment vertical="center" shrinkToFit="1"/>
    </xf>
    <xf numFmtId="177" fontId="2" fillId="4" borderId="0" xfId="0" applyNumberFormat="1" applyFont="1" applyFill="1" applyAlignment="1">
      <alignment vertical="center" shrinkToFit="1"/>
    </xf>
    <xf numFmtId="176" fontId="7" fillId="7" borderId="12" xfId="0" applyNumberFormat="1" applyFont="1" applyFill="1" applyBorder="1" applyAlignment="1">
      <alignment horizontal="center" vertical="center" shrinkToFit="1"/>
    </xf>
    <xf numFmtId="10" fontId="7" fillId="0" borderId="12" xfId="0" applyNumberFormat="1" applyFont="1" applyBorder="1" applyAlignment="1">
      <alignment horizontal="center" vertical="center" shrinkToFit="1"/>
    </xf>
    <xf numFmtId="177" fontId="2" fillId="8" borderId="0" xfId="0" applyNumberFormat="1" applyFont="1" applyFill="1" applyAlignment="1">
      <alignment vertical="center" shrinkToFit="1"/>
    </xf>
    <xf numFmtId="177" fontId="0" fillId="8" borderId="0" xfId="0" applyNumberFormat="1" applyFont="1" applyFill="1" applyAlignment="1">
      <alignment vertical="center" shrinkToFit="1"/>
    </xf>
    <xf numFmtId="0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80" fontId="7" fillId="8" borderId="12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 applyProtection="1">
      <alignment vertical="center" shrinkToFit="1"/>
      <protection hidden="1"/>
    </xf>
    <xf numFmtId="0" fontId="5" fillId="0" borderId="11" xfId="0" applyNumberFormat="1" applyFont="1" applyBorder="1" applyAlignment="1" applyProtection="1">
      <alignment vertical="center" shrinkToFit="1"/>
      <protection hidden="1"/>
    </xf>
    <xf numFmtId="10" fontId="5" fillId="0" borderId="12" xfId="0" applyNumberFormat="1" applyFont="1" applyBorder="1" applyAlignment="1">
      <alignment horizontal="center" vertical="center" shrinkToFit="1"/>
    </xf>
    <xf numFmtId="0" fontId="5" fillId="6" borderId="12" xfId="0" applyNumberFormat="1" applyFont="1" applyFill="1" applyBorder="1" applyAlignment="1">
      <alignment horizontal="center" vertical="center" shrinkToFit="1"/>
    </xf>
    <xf numFmtId="180" fontId="7" fillId="7" borderId="12" xfId="0" applyNumberFormat="1" applyFont="1" applyFill="1" applyBorder="1" applyAlignment="1">
      <alignment horizontal="center" vertical="center"/>
    </xf>
    <xf numFmtId="180" fontId="7" fillId="5" borderId="12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8" borderId="14" xfId="0" applyNumberFormat="1" applyFont="1" applyFill="1" applyBorder="1" applyAlignment="1" applyProtection="1">
      <alignment vertical="center" shrinkToFit="1"/>
      <protection hidden="1"/>
    </xf>
    <xf numFmtId="0" fontId="7" fillId="5" borderId="14" xfId="0" applyNumberFormat="1" applyFont="1" applyFill="1" applyBorder="1" applyAlignment="1" applyProtection="1">
      <alignment vertical="center" shrinkToFit="1"/>
      <protection hidden="1"/>
    </xf>
    <xf numFmtId="10" fontId="9" fillId="8" borderId="14" xfId="0" applyNumberFormat="1" applyFont="1" applyFill="1" applyBorder="1" applyAlignment="1" applyProtection="1">
      <alignment vertical="center" shrinkToFit="1"/>
      <protection hidden="1"/>
    </xf>
    <xf numFmtId="0" fontId="5" fillId="7" borderId="13" xfId="0" applyNumberFormat="1" applyFont="1" applyFill="1" applyBorder="1" applyAlignment="1">
      <alignment horizontal="center" vertical="center" shrinkToFit="1"/>
    </xf>
    <xf numFmtId="0" fontId="5" fillId="7" borderId="14" xfId="0" applyNumberFormat="1" applyFont="1" applyFill="1" applyBorder="1" applyAlignment="1">
      <alignment horizontal="center" vertical="center" shrinkToFit="1"/>
    </xf>
    <xf numFmtId="176" fontId="5" fillId="0" borderId="14" xfId="0" applyNumberFormat="1" applyFont="1" applyBorder="1" applyAlignment="1">
      <alignment horizontal="center" vertical="center" shrinkToFit="1"/>
    </xf>
    <xf numFmtId="0" fontId="5" fillId="7" borderId="11" xfId="0" applyNumberFormat="1" applyFont="1" applyFill="1" applyBorder="1" applyAlignment="1">
      <alignment horizontal="center" vertical="center" shrinkToFit="1"/>
    </xf>
    <xf numFmtId="0" fontId="5" fillId="7" borderId="16" xfId="0" applyNumberFormat="1" applyFont="1" applyFill="1" applyBorder="1" applyAlignment="1">
      <alignment horizontal="center" vertical="center" shrinkToFit="1"/>
    </xf>
    <xf numFmtId="0" fontId="5" fillId="7" borderId="17" xfId="0" applyNumberFormat="1" applyFont="1" applyFill="1" applyBorder="1" applyAlignment="1">
      <alignment horizontal="center" vertical="center" shrinkToFit="1"/>
    </xf>
    <xf numFmtId="0" fontId="5" fillId="7" borderId="18" xfId="0" applyNumberFormat="1" applyFont="1" applyFill="1" applyBorder="1" applyAlignment="1">
      <alignment horizontal="center" vertical="center" shrinkToFit="1"/>
    </xf>
    <xf numFmtId="176" fontId="5" fillId="0" borderId="19" xfId="0" applyNumberFormat="1" applyFont="1" applyBorder="1" applyAlignment="1">
      <alignment horizontal="center" vertical="center" shrinkToFit="1"/>
    </xf>
    <xf numFmtId="176" fontId="5" fillId="0" borderId="20" xfId="0" applyNumberFormat="1" applyFont="1" applyBorder="1" applyAlignment="1">
      <alignment horizontal="center" vertical="center" shrinkToFit="1"/>
    </xf>
    <xf numFmtId="176" fontId="5" fillId="0" borderId="21" xfId="0" applyNumberFormat="1" applyFont="1" applyBorder="1" applyAlignment="1">
      <alignment horizontal="center" vertical="center" shrinkToFit="1"/>
    </xf>
    <xf numFmtId="176" fontId="5" fillId="0" borderId="22" xfId="0" applyNumberFormat="1" applyFont="1" applyBorder="1" applyAlignment="1">
      <alignment horizontal="center" vertical="center" shrinkToFit="1"/>
    </xf>
    <xf numFmtId="176" fontId="5" fillId="4" borderId="23" xfId="0" applyNumberFormat="1" applyFont="1" applyFill="1" applyBorder="1" applyAlignment="1">
      <alignment horizontal="center" vertical="center" shrinkToFit="1"/>
    </xf>
    <xf numFmtId="0" fontId="10" fillId="0" borderId="24" xfId="0" applyNumberFormat="1" applyFont="1" applyBorder="1" applyAlignment="1">
      <alignment horizontal="left" vertical="center" wrapText="1"/>
    </xf>
    <xf numFmtId="176" fontId="10" fillId="0" borderId="24" xfId="0" applyNumberFormat="1" applyFont="1" applyBorder="1" applyAlignment="1">
      <alignment horizontal="center" vertical="center" wrapText="1"/>
    </xf>
    <xf numFmtId="176" fontId="10" fillId="0" borderId="24" xfId="0" applyNumberFormat="1" applyFont="1" applyBorder="1" applyAlignment="1">
      <alignment horizontal="right" vertical="center" wrapText="1"/>
    </xf>
    <xf numFmtId="176" fontId="10" fillId="0" borderId="25" xfId="0" applyNumberFormat="1" applyFont="1" applyBorder="1" applyAlignment="1">
      <alignment horizontal="right" vertical="center" wrapText="1"/>
    </xf>
    <xf numFmtId="181" fontId="5" fillId="4" borderId="12" xfId="0" applyNumberFormat="1" applyFont="1" applyFill="1" applyBorder="1" applyAlignment="1">
      <alignment horizontal="center" vertical="center" shrinkToFit="1"/>
    </xf>
    <xf numFmtId="0" fontId="10" fillId="7" borderId="12" xfId="0" applyNumberFormat="1" applyFont="1" applyFill="1" applyBorder="1" applyAlignment="1">
      <alignment horizontal="left" vertical="center" wrapText="1"/>
    </xf>
    <xf numFmtId="176" fontId="10" fillId="7" borderId="12" xfId="0" applyNumberFormat="1" applyFont="1" applyFill="1" applyBorder="1" applyAlignment="1">
      <alignment horizontal="center" vertical="center" wrapText="1"/>
    </xf>
    <xf numFmtId="176" fontId="10" fillId="7" borderId="12" xfId="0" applyNumberFormat="1" applyFont="1" applyFill="1" applyBorder="1" applyAlignment="1">
      <alignment horizontal="right" vertical="center" wrapText="1"/>
    </xf>
    <xf numFmtId="176" fontId="10" fillId="0" borderId="12" xfId="0" applyNumberFormat="1" applyFont="1" applyBorder="1" applyAlignment="1">
      <alignment horizontal="right" vertical="center" wrapText="1"/>
    </xf>
    <xf numFmtId="0" fontId="0" fillId="0" borderId="0" xfId="0" applyNumberFormat="1" applyAlignment="1">
      <alignment horizontal="center"/>
    </xf>
    <xf numFmtId="0" fontId="8" fillId="0" borderId="26" xfId="0" applyNumberFormat="1" applyFont="1" applyBorder="1" applyAlignment="1">
      <alignment horizontal="center" vertical="center" wrapText="1"/>
    </xf>
    <xf numFmtId="176" fontId="10" fillId="7" borderId="13" xfId="0" applyNumberFormat="1" applyFont="1" applyFill="1" applyBorder="1" applyAlignment="1">
      <alignment horizontal="right" vertical="center" wrapText="1"/>
    </xf>
    <xf numFmtId="176" fontId="10" fillId="0" borderId="27" xfId="0" applyNumberFormat="1" applyFont="1" applyBorder="1" applyAlignment="1">
      <alignment horizontal="right" vertical="center" wrapText="1"/>
    </xf>
    <xf numFmtId="0" fontId="8" fillId="4" borderId="12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/>
    </xf>
    <xf numFmtId="0" fontId="10" fillId="9" borderId="24" xfId="0" applyNumberFormat="1" applyFont="1" applyFill="1" applyBorder="1" applyAlignment="1">
      <alignment horizontal="left" vertical="center" wrapText="1"/>
    </xf>
    <xf numFmtId="176" fontId="10" fillId="9" borderId="24" xfId="0" applyNumberFormat="1" applyFont="1" applyFill="1" applyBorder="1" applyAlignment="1">
      <alignment horizontal="center" vertical="center" wrapText="1"/>
    </xf>
    <xf numFmtId="176" fontId="10" fillId="9" borderId="12" xfId="0" applyNumberFormat="1" applyFont="1" applyFill="1" applyBorder="1" applyAlignment="1">
      <alignment horizontal="right" vertical="center" wrapText="1"/>
    </xf>
    <xf numFmtId="176" fontId="10" fillId="9" borderId="24" xfId="0" applyNumberFormat="1" applyFont="1" applyFill="1" applyBorder="1" applyAlignment="1">
      <alignment horizontal="right" vertical="center" wrapText="1"/>
    </xf>
    <xf numFmtId="176" fontId="10" fillId="9" borderId="27" xfId="0" applyNumberFormat="1" applyFont="1" applyFill="1" applyBorder="1" applyAlignment="1">
      <alignment horizontal="right" vertical="center" wrapText="1"/>
    </xf>
    <xf numFmtId="0" fontId="7" fillId="0" borderId="0" xfId="0" applyNumberFormat="1" applyFont="1" applyAlignment="1" applyProtection="1">
      <alignment vertical="center"/>
      <protection hidden="1"/>
    </xf>
    <xf numFmtId="0" fontId="2" fillId="0" borderId="0" xfId="0" applyNumberFormat="1" applyFont="1" applyAlignment="1">
      <alignment vertical="center" shrinkToFit="1"/>
    </xf>
    <xf numFmtId="0" fontId="6" fillId="6" borderId="12" xfId="0" applyNumberFormat="1" applyFont="1" applyFill="1" applyBorder="1" applyAlignment="1">
      <alignment vertical="center" shrinkToFit="1"/>
    </xf>
    <xf numFmtId="176" fontId="6" fillId="6" borderId="12" xfId="0" applyNumberFormat="1" applyFont="1" applyFill="1" applyBorder="1" applyAlignment="1">
      <alignment horizontal="center" vertical="center" shrinkToFit="1"/>
    </xf>
    <xf numFmtId="0" fontId="5" fillId="5" borderId="12" xfId="0" applyNumberFormat="1" applyFont="1" applyFill="1" applyBorder="1" applyAlignment="1" applyProtection="1">
      <alignment vertical="center" shrinkToFit="1"/>
      <protection hidden="1"/>
    </xf>
    <xf numFmtId="0" fontId="5" fillId="5" borderId="12" xfId="0" applyNumberFormat="1" applyFont="1" applyFill="1" applyBorder="1" applyAlignment="1">
      <alignment horizontal="center" vertical="center" shrinkToFit="1"/>
    </xf>
    <xf numFmtId="0" fontId="5" fillId="5" borderId="12" xfId="0" applyNumberFormat="1" applyFont="1" applyFill="1" applyBorder="1" applyAlignment="1" applyProtection="1">
      <alignment horizontal="center" vertical="center" shrinkToFit="1"/>
      <protection hidden="1"/>
    </xf>
    <xf numFmtId="176" fontId="5" fillId="5" borderId="12" xfId="0" applyNumberFormat="1" applyFont="1" applyFill="1" applyBorder="1" applyAlignment="1">
      <alignment vertical="center" shrinkToFit="1"/>
    </xf>
    <xf numFmtId="176" fontId="5" fillId="5" borderId="12" xfId="0" applyNumberFormat="1" applyFont="1" applyFill="1" applyBorder="1" applyAlignment="1">
      <alignment horizontal="center" vertical="center" shrinkToFit="1"/>
    </xf>
    <xf numFmtId="0" fontId="5" fillId="0" borderId="0" xfId="0" applyNumberFormat="1" applyFont="1" applyAlignment="1" applyProtection="1">
      <alignment vertical="center" wrapText="1" shrinkToFit="1"/>
      <protection hidden="1"/>
    </xf>
    <xf numFmtId="176" fontId="5" fillId="0" borderId="0" xfId="0" applyNumberFormat="1" applyFont="1" applyBorder="1" applyAlignment="1" applyProtection="1">
      <alignment vertical="center" shrinkToFit="1"/>
      <protection hidden="1"/>
    </xf>
    <xf numFmtId="176" fontId="18" fillId="0" borderId="1" xfId="0" applyNumberFormat="1" applyFont="1" applyBorder="1" applyAlignment="1" applyProtection="1">
      <alignment vertical="center" shrinkToFit="1"/>
      <protection hidden="1"/>
    </xf>
    <xf numFmtId="176" fontId="18" fillId="0" borderId="0" xfId="0" applyNumberFormat="1" applyFont="1" applyAlignment="1" applyProtection="1">
      <alignment vertical="center" shrinkToFit="1"/>
      <protection hidden="1"/>
    </xf>
    <xf numFmtId="0" fontId="18" fillId="0" borderId="0" xfId="0" applyNumberFormat="1" applyFont="1" applyAlignment="1" applyProtection="1">
      <alignment vertical="center" shrinkToFit="1"/>
      <protection hidden="1"/>
    </xf>
    <xf numFmtId="177" fontId="3" fillId="8" borderId="0" xfId="0" applyNumberFormat="1" applyFont="1" applyFill="1" applyAlignment="1">
      <alignment horizontal="center" vertical="center" shrinkToFit="1"/>
    </xf>
    <xf numFmtId="177" fontId="9" fillId="4" borderId="0" xfId="0" applyNumberFormat="1" applyFont="1" applyFill="1" applyAlignment="1">
      <alignment vertical="center" shrinkToFit="1"/>
    </xf>
    <xf numFmtId="177" fontId="7" fillId="7" borderId="12" xfId="0" applyNumberFormat="1" applyFont="1" applyFill="1" applyBorder="1" applyAlignment="1">
      <alignment horizontal="center" vertical="center" shrinkToFit="1"/>
    </xf>
    <xf numFmtId="177" fontId="9" fillId="7" borderId="12" xfId="0" applyNumberFormat="1" applyFont="1" applyFill="1" applyBorder="1" applyAlignment="1">
      <alignment horizontal="center" vertical="center" shrinkToFit="1"/>
    </xf>
    <xf numFmtId="177" fontId="4" fillId="4" borderId="1" xfId="0" applyNumberFormat="1" applyFont="1" applyFill="1" applyBorder="1" applyAlignment="1">
      <alignment vertical="center" shrinkToFit="1"/>
    </xf>
    <xf numFmtId="177" fontId="9" fillId="4" borderId="1" xfId="0" applyNumberFormat="1" applyFont="1" applyFill="1" applyBorder="1" applyAlignment="1">
      <alignment vertical="center" shrinkToFit="1"/>
    </xf>
    <xf numFmtId="180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80" fontId="2" fillId="8" borderId="0" xfId="0" applyNumberFormat="1" applyFont="1" applyFill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0" fontId="9" fillId="4" borderId="12" xfId="0" applyNumberFormat="1" applyFont="1" applyFill="1" applyBorder="1" applyAlignment="1">
      <alignment horizontal="center" vertical="center"/>
    </xf>
    <xf numFmtId="10" fontId="7" fillId="4" borderId="12" xfId="0" applyNumberFormat="1" applyFont="1" applyFill="1" applyBorder="1" applyAlignment="1">
      <alignment horizontal="center" vertical="center"/>
    </xf>
    <xf numFmtId="0" fontId="7" fillId="8" borderId="12" xfId="0" applyNumberFormat="1" applyFont="1" applyFill="1" applyBorder="1" applyAlignment="1" applyProtection="1">
      <alignment horizontal="center" vertical="center" shrinkToFit="1"/>
      <protection hidden="1"/>
    </xf>
    <xf numFmtId="0" fontId="9" fillId="7" borderId="12" xfId="0" applyNumberFormat="1" applyFont="1" applyFill="1" applyBorder="1" applyAlignment="1">
      <alignment horizontal="center" vertical="center"/>
    </xf>
    <xf numFmtId="176" fontId="9" fillId="7" borderId="12" xfId="0" applyNumberFormat="1" applyFont="1" applyFill="1" applyBorder="1" applyAlignment="1">
      <alignment horizontal="center" vertical="center"/>
    </xf>
    <xf numFmtId="0" fontId="7" fillId="4" borderId="12" xfId="0" applyNumberFormat="1" applyFont="1" applyFill="1" applyBorder="1" applyAlignment="1">
      <alignment horizontal="center" vertical="center"/>
    </xf>
    <xf numFmtId="0" fontId="7" fillId="8" borderId="12" xfId="0" applyNumberFormat="1" applyFont="1" applyFill="1" applyBorder="1" applyAlignment="1">
      <alignment horizontal="center" vertical="center"/>
    </xf>
    <xf numFmtId="180" fontId="7" fillId="8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 applyProtection="1">
      <alignment horizontal="center" vertical="center" shrinkToFit="1"/>
      <protection hidden="1"/>
    </xf>
    <xf numFmtId="0" fontId="5" fillId="2" borderId="7" xfId="0" applyNumberFormat="1" applyFont="1" applyFill="1" applyBorder="1" applyAlignment="1" applyProtection="1">
      <alignment horizontal="center" vertical="center" shrinkToFit="1"/>
      <protection hidden="1"/>
    </xf>
    <xf numFmtId="0" fontId="5" fillId="2" borderId="14" xfId="0" applyNumberFormat="1" applyFont="1" applyFill="1" applyBorder="1" applyAlignment="1" applyProtection="1">
      <alignment horizontal="center" vertical="center" shrinkToFit="1"/>
      <protection hidden="1"/>
    </xf>
    <xf numFmtId="0" fontId="6" fillId="8" borderId="12" xfId="0" applyNumberFormat="1" applyFont="1" applyFill="1" applyBorder="1" applyAlignment="1" applyProtection="1">
      <alignment horizontal="center" vertical="center" shrinkToFit="1"/>
      <protection hidden="1"/>
    </xf>
    <xf numFmtId="176" fontId="6" fillId="0" borderId="12" xfId="0" applyNumberFormat="1" applyFont="1" applyBorder="1" applyAlignment="1" applyProtection="1">
      <alignment horizontal="center" vertical="center" shrinkToFit="1"/>
      <protection hidden="1"/>
    </xf>
    <xf numFmtId="10" fontId="6" fillId="4" borderId="12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1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7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14" xfId="0" applyNumberFormat="1" applyFont="1" applyFill="1" applyBorder="1" applyAlignment="1" applyProtection="1">
      <alignment horizontal="center" vertical="center" shrinkToFit="1"/>
      <protection hidden="1"/>
    </xf>
    <xf numFmtId="0" fontId="5" fillId="7" borderId="13" xfId="0" applyNumberFormat="1" applyFont="1" applyFill="1" applyBorder="1" applyAlignment="1" applyProtection="1">
      <alignment horizontal="center" vertical="center" shrinkToFit="1"/>
      <protection hidden="1"/>
    </xf>
    <xf numFmtId="0" fontId="5" fillId="7" borderId="7" xfId="0" applyNumberFormat="1" applyFont="1" applyFill="1" applyBorder="1" applyAlignment="1" applyProtection="1">
      <alignment horizontal="center" vertical="center" shrinkToFit="1"/>
      <protection hidden="1"/>
    </xf>
    <xf numFmtId="0" fontId="5" fillId="7" borderId="14" xfId="0" applyNumberFormat="1" applyFont="1" applyFill="1" applyBorder="1" applyAlignment="1" applyProtection="1">
      <alignment horizontal="center" vertical="center" shrinkToFit="1"/>
      <protection hidden="1"/>
    </xf>
    <xf numFmtId="0" fontId="6" fillId="7" borderId="12" xfId="0" applyNumberFormat="1" applyFont="1" applyFill="1" applyBorder="1" applyAlignment="1" applyProtection="1">
      <alignment horizontal="center" vertical="center" shrinkToFit="1"/>
      <protection hidden="1"/>
    </xf>
    <xf numFmtId="0" fontId="7" fillId="8" borderId="13" xfId="0" applyNumberFormat="1" applyFont="1" applyFill="1" applyBorder="1" applyAlignment="1" applyProtection="1">
      <alignment horizontal="center" vertical="center" shrinkToFit="1"/>
      <protection hidden="1"/>
    </xf>
    <xf numFmtId="0" fontId="7" fillId="8" borderId="7" xfId="0" applyNumberFormat="1" applyFont="1" applyFill="1" applyBorder="1" applyAlignment="1" applyProtection="1">
      <alignment horizontal="center" vertical="center" shrinkToFit="1"/>
      <protection hidden="1"/>
    </xf>
    <xf numFmtId="0" fontId="7" fillId="8" borderId="14" xfId="0" applyNumberFormat="1" applyFont="1" applyFill="1" applyBorder="1" applyAlignment="1" applyProtection="1">
      <alignment horizontal="center" vertical="center" shrinkToFit="1"/>
      <protection hidden="1"/>
    </xf>
    <xf numFmtId="0" fontId="5" fillId="2" borderId="12" xfId="0" applyNumberFormat="1" applyFont="1" applyFill="1" applyBorder="1" applyAlignment="1" applyProtection="1">
      <alignment horizontal="center" vertical="center" shrinkToFit="1"/>
      <protection hidden="1"/>
    </xf>
    <xf numFmtId="0" fontId="6" fillId="10" borderId="12" xfId="0" applyNumberFormat="1" applyFont="1" applyFill="1" applyBorder="1" applyAlignment="1" applyProtection="1">
      <alignment horizontal="center" vertical="center" shrinkToFit="1"/>
      <protection hidden="1"/>
    </xf>
    <xf numFmtId="176" fontId="6" fillId="6" borderId="12" xfId="0" applyNumberFormat="1" applyFont="1" applyFill="1" applyBorder="1" applyAlignment="1" applyProtection="1">
      <alignment horizontal="center" vertical="center" shrinkToFit="1"/>
      <protection hidden="1"/>
    </xf>
    <xf numFmtId="10" fontId="6" fillId="6" borderId="12" xfId="0" applyNumberFormat="1" applyFont="1" applyFill="1" applyBorder="1" applyAlignment="1" applyProtection="1">
      <alignment horizontal="center" vertical="center" shrinkToFit="1"/>
      <protection hidden="1"/>
    </xf>
    <xf numFmtId="0" fontId="5" fillId="7" borderId="12" xfId="0" applyNumberFormat="1" applyFont="1" applyFill="1" applyBorder="1" applyAlignment="1" applyProtection="1">
      <alignment horizontal="center" vertical="center" shrinkToFit="1"/>
      <protection hidden="1"/>
    </xf>
    <xf numFmtId="176" fontId="6" fillId="4" borderId="12" xfId="0" applyNumberFormat="1" applyFont="1" applyFill="1" applyBorder="1" applyAlignment="1" applyProtection="1">
      <alignment horizontal="center" vertical="center" shrinkToFit="1"/>
      <protection hidden="1"/>
    </xf>
    <xf numFmtId="0" fontId="7" fillId="5" borderId="12" xfId="0" applyNumberFormat="1" applyFont="1" applyFill="1" applyBorder="1" applyAlignment="1" applyProtection="1">
      <alignment horizontal="center" vertical="center" shrinkToFit="1"/>
      <protection hidden="1"/>
    </xf>
    <xf numFmtId="0" fontId="6" fillId="10" borderId="13" xfId="0" applyNumberFormat="1" applyFont="1" applyFill="1" applyBorder="1" applyAlignment="1" applyProtection="1">
      <alignment horizontal="center" vertical="center" shrinkToFit="1"/>
      <protection hidden="1"/>
    </xf>
    <xf numFmtId="0" fontId="6" fillId="10" borderId="7" xfId="0" applyNumberFormat="1" applyFont="1" applyFill="1" applyBorder="1" applyAlignment="1" applyProtection="1">
      <alignment horizontal="center" vertical="center" shrinkToFit="1"/>
      <protection hidden="1"/>
    </xf>
    <xf numFmtId="0" fontId="6" fillId="10" borderId="14" xfId="0" applyNumberFormat="1" applyFont="1" applyFill="1" applyBorder="1" applyAlignment="1" applyProtection="1">
      <alignment horizontal="center" vertical="center" shrinkToFit="1"/>
      <protection hidden="1"/>
    </xf>
    <xf numFmtId="0" fontId="7" fillId="5" borderId="13" xfId="0" applyNumberFormat="1" applyFont="1" applyFill="1" applyBorder="1" applyAlignment="1" applyProtection="1">
      <alignment horizontal="center" vertical="center" shrinkToFit="1"/>
      <protection hidden="1"/>
    </xf>
    <xf numFmtId="0" fontId="7" fillId="5" borderId="7" xfId="0" applyNumberFormat="1" applyFont="1" applyFill="1" applyBorder="1" applyAlignment="1" applyProtection="1">
      <alignment horizontal="center" vertical="center" shrinkToFit="1"/>
      <protection hidden="1"/>
    </xf>
    <xf numFmtId="180" fontId="3" fillId="10" borderId="0" xfId="0" applyNumberFormat="1" applyFont="1" applyFill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180" fontId="7" fillId="0" borderId="3" xfId="0" applyNumberFormat="1" applyFont="1" applyBorder="1" applyAlignment="1">
      <alignment horizontal="center" vertical="center"/>
    </xf>
    <xf numFmtId="0" fontId="6" fillId="8" borderId="13" xfId="0" applyNumberFormat="1" applyFont="1" applyFill="1" applyBorder="1" applyAlignment="1" applyProtection="1">
      <alignment horizontal="center" vertical="center" shrinkToFit="1"/>
      <protection hidden="1"/>
    </xf>
    <xf numFmtId="0" fontId="6" fillId="8" borderId="7" xfId="0" applyNumberFormat="1" applyFont="1" applyFill="1" applyBorder="1" applyAlignment="1" applyProtection="1">
      <alignment horizontal="center" vertical="center" shrinkToFit="1"/>
      <protection hidden="1"/>
    </xf>
    <xf numFmtId="0" fontId="6" fillId="8" borderId="14" xfId="0" applyNumberFormat="1" applyFont="1" applyFill="1" applyBorder="1" applyAlignment="1" applyProtection="1">
      <alignment horizontal="center" vertical="center" shrinkToFit="1"/>
      <protection hidden="1"/>
    </xf>
    <xf numFmtId="0" fontId="2" fillId="4" borderId="0" xfId="0" applyNumberFormat="1" applyFont="1" applyFill="1" applyAlignment="1">
      <alignment horizontal="center" vertical="center" shrinkToFit="1"/>
    </xf>
    <xf numFmtId="0" fontId="3" fillId="0" borderId="0" xfId="0" applyNumberFormat="1" applyFont="1" applyAlignment="1">
      <alignment horizontal="center" vertical="center" shrinkToFit="1"/>
    </xf>
    <xf numFmtId="0" fontId="2" fillId="0" borderId="0" xfId="0" applyNumberFormat="1" applyFont="1" applyAlignment="1">
      <alignment vertical="center" shrinkToFit="1"/>
    </xf>
    <xf numFmtId="0" fontId="5" fillId="0" borderId="13" xfId="0" applyNumberFormat="1" applyFont="1" applyBorder="1" applyAlignment="1">
      <alignment horizontal="left" vertical="center" shrinkToFit="1"/>
    </xf>
    <xf numFmtId="0" fontId="5" fillId="0" borderId="7" xfId="0" applyNumberFormat="1" applyFont="1" applyBorder="1" applyAlignment="1">
      <alignment horizontal="left" vertical="center" shrinkToFit="1"/>
    </xf>
    <xf numFmtId="0" fontId="5" fillId="0" borderId="14" xfId="0" applyNumberFormat="1" applyFont="1" applyBorder="1" applyAlignment="1">
      <alignment horizontal="left" vertical="center" shrinkToFit="1"/>
    </xf>
    <xf numFmtId="0" fontId="5" fillId="0" borderId="13" xfId="0" applyNumberFormat="1" applyFont="1" applyBorder="1" applyAlignment="1">
      <alignment vertical="center" shrinkToFit="1"/>
    </xf>
    <xf numFmtId="0" fontId="5" fillId="0" borderId="7" xfId="0" applyNumberFormat="1" applyFont="1" applyBorder="1" applyAlignment="1">
      <alignment vertical="center" shrinkToFit="1"/>
    </xf>
    <xf numFmtId="0" fontId="5" fillId="7" borderId="7" xfId="0" applyNumberFormat="1" applyFont="1" applyFill="1" applyBorder="1" applyAlignment="1">
      <alignment vertical="center" shrinkToFit="1"/>
    </xf>
    <xf numFmtId="0" fontId="5" fillId="7" borderId="14" xfId="0" applyNumberFormat="1" applyFont="1" applyFill="1" applyBorder="1" applyAlignment="1">
      <alignment vertical="center" shrinkToFit="1"/>
    </xf>
    <xf numFmtId="0" fontId="2" fillId="0" borderId="0" xfId="0" applyNumberFormat="1" applyFont="1" applyAlignment="1">
      <alignment horizontal="left" vertical="center" shrinkToFit="1"/>
    </xf>
    <xf numFmtId="0" fontId="5" fillId="7" borderId="12" xfId="0" applyNumberFormat="1" applyFont="1" applyFill="1" applyBorder="1" applyAlignment="1">
      <alignment horizontal="center" vertical="center" shrinkToFit="1"/>
    </xf>
    <xf numFmtId="0" fontId="6" fillId="0" borderId="3" xfId="0" applyNumberFormat="1" applyFont="1" applyBorder="1" applyAlignment="1">
      <alignment vertical="center" shrinkToFit="1"/>
    </xf>
    <xf numFmtId="176" fontId="5" fillId="0" borderId="12" xfId="0" applyNumberFormat="1" applyFont="1" applyBorder="1" applyAlignment="1">
      <alignment horizontal="center" vertical="center" shrinkToFit="1"/>
    </xf>
    <xf numFmtId="176" fontId="5" fillId="7" borderId="12" xfId="0" applyNumberFormat="1" applyFont="1" applyFill="1" applyBorder="1" applyAlignment="1">
      <alignment horizontal="center" vertical="center" shrinkToFit="1"/>
    </xf>
    <xf numFmtId="0" fontId="12" fillId="0" borderId="0" xfId="0" applyNumberFormat="1" applyFont="1" applyAlignment="1">
      <alignment vertical="center" shrinkToFit="1"/>
    </xf>
    <xf numFmtId="0" fontId="12" fillId="0" borderId="0" xfId="0" applyNumberFormat="1" applyFont="1" applyAlignment="1">
      <alignment horizontal="left" vertical="center" shrinkToFit="1"/>
    </xf>
    <xf numFmtId="0" fontId="13" fillId="0" borderId="3" xfId="0" applyNumberFormat="1" applyFont="1" applyBorder="1" applyAlignment="1">
      <alignment horizontal="center" vertical="center" shrinkToFit="1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 vertical="center" shrinkToFit="1"/>
    </xf>
    <xf numFmtId="0" fontId="11" fillId="0" borderId="0" xfId="0" applyNumberFormat="1" applyFont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7" fillId="4" borderId="0" xfId="0" applyNumberFormat="1" applyFont="1" applyFill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7" fillId="0" borderId="12" xfId="0" applyNumberFormat="1" applyFont="1" applyBorder="1" applyAlignment="1">
      <alignment horizontal="center" vertical="center"/>
    </xf>
    <xf numFmtId="176" fontId="17" fillId="0" borderId="12" xfId="0" applyNumberFormat="1" applyFont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vertical="center" shrinkToFit="1"/>
      <protection hidden="1"/>
    </xf>
    <xf numFmtId="176" fontId="5" fillId="0" borderId="0" xfId="0" applyNumberFormat="1" applyFont="1" applyAlignment="1" applyProtection="1">
      <alignment horizontal="right" vertical="center" shrinkToFit="1"/>
      <protection hidden="1"/>
    </xf>
    <xf numFmtId="176" fontId="18" fillId="0" borderId="0" xfId="0" applyNumberFormat="1" applyFont="1" applyAlignment="1" applyProtection="1">
      <alignment horizontal="left" vertical="center" shrinkToFit="1"/>
      <protection hidden="1"/>
    </xf>
    <xf numFmtId="0" fontId="5" fillId="0" borderId="0" xfId="0" applyNumberFormat="1" applyFont="1" applyAlignment="1" applyProtection="1">
      <alignment vertical="center" wrapText="1" shrinkToFit="1"/>
      <protection hidden="1"/>
    </xf>
    <xf numFmtId="0" fontId="7" fillId="4" borderId="0" xfId="0" applyNumberFormat="1" applyFont="1" applyFill="1" applyAlignment="1" applyProtection="1">
      <alignment horizontal="left" vertical="center"/>
      <protection hidden="1"/>
    </xf>
    <xf numFmtId="0" fontId="5" fillId="0" borderId="3" xfId="0" applyNumberFormat="1" applyFont="1" applyBorder="1" applyAlignment="1" applyProtection="1">
      <alignment horizontal="center" vertical="center"/>
      <protection hidden="1"/>
    </xf>
    <xf numFmtId="0" fontId="14" fillId="0" borderId="1" xfId="0" applyNumberFormat="1" applyFont="1" applyBorder="1" applyAlignment="1" applyProtection="1">
      <alignment vertical="center"/>
      <protection hidden="1"/>
    </xf>
    <xf numFmtId="0" fontId="14" fillId="0" borderId="1" xfId="0" applyNumberFormat="1" applyFont="1" applyBorder="1" applyAlignment="1" applyProtection="1">
      <alignment horizontal="center" vertical="center"/>
      <protection hidden="1"/>
    </xf>
    <xf numFmtId="0" fontId="6" fillId="2" borderId="12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13" xfId="0" applyNumberFormat="1" applyFont="1" applyBorder="1" applyAlignment="1" applyProtection="1">
      <alignment vertical="center" shrinkToFit="1"/>
      <protection hidden="1"/>
    </xf>
    <xf numFmtId="0" fontId="5" fillId="0" borderId="7" xfId="0" applyNumberFormat="1" applyFont="1" applyBorder="1" applyAlignment="1" applyProtection="1">
      <alignment vertical="center" shrinkToFit="1"/>
      <protection hidden="1"/>
    </xf>
    <xf numFmtId="0" fontId="5" fillId="0" borderId="14" xfId="0" applyNumberFormat="1" applyFont="1" applyBorder="1" applyAlignment="1" applyProtection="1">
      <alignment vertical="center" shrinkToFit="1"/>
      <protection hidden="1"/>
    </xf>
    <xf numFmtId="176" fontId="5" fillId="0" borderId="13" xfId="0" applyNumberFormat="1" applyFont="1" applyBorder="1" applyAlignment="1" applyProtection="1">
      <alignment vertical="center" shrinkToFit="1"/>
      <protection hidden="1"/>
    </xf>
    <xf numFmtId="176" fontId="5" fillId="0" borderId="7" xfId="0" applyNumberFormat="1" applyFont="1" applyBorder="1" applyAlignment="1" applyProtection="1">
      <alignment vertical="center" shrinkToFit="1"/>
      <protection hidden="1"/>
    </xf>
    <xf numFmtId="0" fontId="6" fillId="0" borderId="8" xfId="0" applyNumberFormat="1" applyFont="1" applyBorder="1" applyAlignment="1" applyProtection="1">
      <alignment vertical="center" shrinkToFit="1"/>
      <protection hidden="1"/>
    </xf>
    <xf numFmtId="0" fontId="6" fillId="0" borderId="3" xfId="0" applyNumberFormat="1" applyFont="1" applyBorder="1" applyAlignment="1" applyProtection="1">
      <alignment vertical="center" shrinkToFit="1"/>
      <protection hidden="1"/>
    </xf>
    <xf numFmtId="0" fontId="6" fillId="2" borderId="8" xfId="0" applyNumberFormat="1" applyFont="1" applyFill="1" applyBorder="1" applyAlignment="1" applyProtection="1">
      <alignment vertical="center" shrinkToFit="1"/>
      <protection hidden="1"/>
    </xf>
    <xf numFmtId="0" fontId="6" fillId="2" borderId="3" xfId="0" applyNumberFormat="1" applyFont="1" applyFill="1" applyBorder="1" applyAlignment="1" applyProtection="1">
      <alignment vertical="center" shrinkToFit="1"/>
      <protection hidden="1"/>
    </xf>
    <xf numFmtId="0" fontId="6" fillId="2" borderId="9" xfId="0" applyNumberFormat="1" applyFont="1" applyFill="1" applyBorder="1" applyAlignment="1" applyProtection="1">
      <alignment vertical="center" shrinkToFit="1"/>
      <protection hidden="1"/>
    </xf>
    <xf numFmtId="0" fontId="5" fillId="0" borderId="5" xfId="0" applyNumberFormat="1" applyFont="1" applyBorder="1" applyAlignment="1" applyProtection="1">
      <alignment vertical="center" shrinkToFit="1"/>
      <protection hidden="1"/>
    </xf>
    <xf numFmtId="0" fontId="5" fillId="0" borderId="1" xfId="0" applyNumberFormat="1" applyFont="1" applyBorder="1" applyAlignment="1" applyProtection="1">
      <alignment vertical="center" shrinkToFit="1"/>
      <protection hidden="1"/>
    </xf>
    <xf numFmtId="0" fontId="5" fillId="0" borderId="6" xfId="0" applyNumberFormat="1" applyFont="1" applyBorder="1" applyAlignment="1" applyProtection="1">
      <alignment vertical="center" shrinkToFit="1"/>
      <protection hidden="1"/>
    </xf>
    <xf numFmtId="0" fontId="5" fillId="0" borderId="2" xfId="0" applyNumberFormat="1" applyFont="1" applyBorder="1" applyAlignment="1" applyProtection="1">
      <alignment vertical="center" shrinkToFit="1"/>
      <protection hidden="1"/>
    </xf>
    <xf numFmtId="0" fontId="5" fillId="0" borderId="4" xfId="0" applyNumberFormat="1" applyFont="1" applyBorder="1" applyAlignment="1" applyProtection="1">
      <alignment vertical="center" shrinkToFit="1"/>
      <protection hidden="1"/>
    </xf>
    <xf numFmtId="0" fontId="6" fillId="0" borderId="3" xfId="0" applyNumberFormat="1" applyFont="1" applyBorder="1" applyAlignment="1" applyProtection="1">
      <alignment horizontal="center" vertical="center" shrinkToFit="1"/>
      <protection hidden="1"/>
    </xf>
    <xf numFmtId="0" fontId="6" fillId="0" borderId="9" xfId="0" applyNumberFormat="1" applyFont="1" applyBorder="1" applyAlignment="1" applyProtection="1">
      <alignment vertical="center" shrinkToFit="1"/>
      <protection hidden="1"/>
    </xf>
    <xf numFmtId="176" fontId="6" fillId="2" borderId="8" xfId="0" applyNumberFormat="1" applyFont="1" applyFill="1" applyBorder="1" applyAlignment="1" applyProtection="1">
      <alignment vertical="center" shrinkToFit="1"/>
      <protection hidden="1"/>
    </xf>
    <xf numFmtId="176" fontId="6" fillId="2" borderId="3" xfId="0" applyNumberFormat="1" applyFont="1" applyFill="1" applyBorder="1" applyAlignment="1" applyProtection="1">
      <alignment vertical="center" shrinkToFit="1"/>
      <protection hidden="1"/>
    </xf>
    <xf numFmtId="176" fontId="6" fillId="2" borderId="9" xfId="0" applyNumberFormat="1" applyFont="1" applyFill="1" applyBorder="1" applyAlignment="1" applyProtection="1">
      <alignment vertical="center" shrinkToFit="1"/>
      <protection hidden="1"/>
    </xf>
    <xf numFmtId="0" fontId="4" fillId="0" borderId="1" xfId="0" applyNumberFormat="1" applyFont="1" applyBorder="1" applyAlignment="1" applyProtection="1">
      <alignment vertical="center" shrinkToFit="1"/>
      <protection hidden="1"/>
    </xf>
    <xf numFmtId="0" fontId="0" fillId="0" borderId="1" xfId="0" applyNumberFormat="1" applyBorder="1" applyAlignment="1" applyProtection="1">
      <alignment horizontal="right" vertical="center" shrinkToFit="1"/>
      <protection hidden="1"/>
    </xf>
    <xf numFmtId="0" fontId="5" fillId="0" borderId="8" xfId="0" applyNumberFormat="1" applyFont="1" applyBorder="1" applyAlignment="1" applyProtection="1">
      <alignment vertical="center" shrinkToFit="1"/>
      <protection hidden="1"/>
    </xf>
    <xf numFmtId="0" fontId="5" fillId="0" borderId="3" xfId="0" applyNumberFormat="1" applyFont="1" applyBorder="1" applyAlignment="1" applyProtection="1">
      <alignment vertical="center" shrinkToFit="1"/>
      <protection hidden="1"/>
    </xf>
    <xf numFmtId="0" fontId="5" fillId="0" borderId="9" xfId="0" applyNumberFormat="1" applyFont="1" applyBorder="1" applyAlignment="1" applyProtection="1">
      <alignment vertical="center" shrinkToFit="1"/>
      <protection hidden="1"/>
    </xf>
    <xf numFmtId="176" fontId="5" fillId="0" borderId="1" xfId="0" applyNumberFormat="1" applyFont="1" applyBorder="1" applyAlignment="1" applyProtection="1">
      <alignment vertical="center" shrinkToFit="1"/>
      <protection hidden="1"/>
    </xf>
    <xf numFmtId="176" fontId="5" fillId="0" borderId="0" xfId="0" applyNumberFormat="1" applyFont="1" applyAlignment="1" applyProtection="1">
      <alignment vertical="center" shrinkToFit="1"/>
      <protection hidden="1"/>
    </xf>
    <xf numFmtId="176" fontId="5" fillId="5" borderId="0" xfId="0" applyNumberFormat="1" applyFont="1" applyFill="1" applyAlignment="1" applyProtection="1">
      <alignment vertical="center"/>
      <protection hidden="1"/>
    </xf>
    <xf numFmtId="0" fontId="6" fillId="5" borderId="0" xfId="0" applyNumberFormat="1" applyFont="1" applyFill="1" applyAlignment="1" applyProtection="1">
      <alignment horizontal="center" vertical="center"/>
      <protection hidden="1"/>
    </xf>
    <xf numFmtId="176" fontId="5" fillId="0" borderId="14" xfId="0" applyNumberFormat="1" applyFont="1" applyBorder="1" applyAlignment="1" applyProtection="1">
      <alignment vertical="center" shrinkToFit="1"/>
      <protection hidden="1"/>
    </xf>
    <xf numFmtId="176" fontId="6" fillId="0" borderId="3" xfId="0" applyNumberFormat="1" applyFont="1" applyBorder="1" applyAlignment="1" applyProtection="1">
      <alignment vertical="center" shrinkToFit="1"/>
      <protection hidden="1"/>
    </xf>
    <xf numFmtId="176" fontId="6" fillId="0" borderId="9" xfId="0" applyNumberFormat="1" applyFont="1" applyBorder="1" applyAlignment="1" applyProtection="1">
      <alignment vertical="center" shrinkToFit="1"/>
      <protection hidden="1"/>
    </xf>
    <xf numFmtId="176" fontId="5" fillId="0" borderId="5" xfId="0" applyNumberFormat="1" applyFont="1" applyBorder="1" applyAlignment="1" applyProtection="1">
      <alignment vertical="center" shrinkToFit="1"/>
      <protection hidden="1"/>
    </xf>
    <xf numFmtId="176" fontId="5" fillId="0" borderId="6" xfId="0" applyNumberFormat="1" applyFont="1" applyBorder="1" applyAlignment="1" applyProtection="1">
      <alignment vertical="center" shrinkToFit="1"/>
      <protection hidden="1"/>
    </xf>
    <xf numFmtId="176" fontId="5" fillId="0" borderId="2" xfId="0" applyNumberFormat="1" applyFont="1" applyBorder="1" applyAlignment="1" applyProtection="1">
      <alignment vertical="center" shrinkToFit="1"/>
      <protection hidden="1"/>
    </xf>
    <xf numFmtId="176" fontId="5" fillId="0" borderId="4" xfId="0" applyNumberFormat="1" applyFont="1" applyBorder="1" applyAlignment="1" applyProtection="1">
      <alignment vertical="center" shrinkToFit="1"/>
      <protection hidden="1"/>
    </xf>
    <xf numFmtId="176" fontId="6" fillId="0" borderId="8" xfId="0" applyNumberFormat="1" applyFont="1" applyBorder="1" applyAlignment="1" applyProtection="1">
      <alignment vertical="center" shrinkToFit="1"/>
      <protection hidden="1"/>
    </xf>
    <xf numFmtId="176" fontId="5" fillId="0" borderId="8" xfId="0" applyNumberFormat="1" applyFont="1" applyBorder="1" applyAlignment="1" applyProtection="1">
      <alignment vertical="center" shrinkToFit="1"/>
      <protection hidden="1"/>
    </xf>
    <xf numFmtId="176" fontId="5" fillId="0" borderId="3" xfId="0" applyNumberFormat="1" applyFont="1" applyBorder="1" applyAlignment="1" applyProtection="1">
      <alignment vertical="center" shrinkToFit="1"/>
      <protection hidden="1"/>
    </xf>
    <xf numFmtId="176" fontId="5" fillId="0" borderId="9" xfId="0" applyNumberFormat="1" applyFont="1" applyBorder="1" applyAlignment="1" applyProtection="1">
      <alignment vertical="center" shrinkToFit="1"/>
      <protection hidden="1"/>
    </xf>
    <xf numFmtId="176" fontId="6" fillId="2" borderId="13" xfId="0" applyNumberFormat="1" applyFont="1" applyFill="1" applyBorder="1" applyAlignment="1" applyProtection="1">
      <alignment vertical="center" shrinkToFit="1"/>
      <protection hidden="1"/>
    </xf>
    <xf numFmtId="176" fontId="6" fillId="2" borderId="7" xfId="0" applyNumberFormat="1" applyFont="1" applyFill="1" applyBorder="1" applyAlignment="1" applyProtection="1">
      <alignment vertical="center" shrinkToFit="1"/>
      <protection hidden="1"/>
    </xf>
    <xf numFmtId="176" fontId="6" fillId="2" borderId="14" xfId="0" applyNumberFormat="1" applyFont="1" applyFill="1" applyBorder="1" applyAlignment="1" applyProtection="1">
      <alignment vertical="center" shrinkToFit="1"/>
      <protection hidden="1"/>
    </xf>
    <xf numFmtId="0" fontId="6" fillId="2" borderId="13" xfId="0" applyNumberFormat="1" applyFont="1" applyFill="1" applyBorder="1" applyAlignment="1" applyProtection="1">
      <alignment horizontal="center" vertical="center" shrinkToFit="1"/>
      <protection hidden="1"/>
    </xf>
    <xf numFmtId="0" fontId="6" fillId="2" borderId="7" xfId="0" applyNumberFormat="1" applyFont="1" applyFill="1" applyBorder="1" applyAlignment="1" applyProtection="1">
      <alignment horizontal="center" vertical="center" shrinkToFit="1"/>
      <protection hidden="1"/>
    </xf>
    <xf numFmtId="0" fontId="6" fillId="2" borderId="14" xfId="0" applyNumberFormat="1" applyFont="1" applyFill="1" applyBorder="1" applyAlignment="1" applyProtection="1">
      <alignment horizontal="center" vertical="center" shrinkToFit="1"/>
      <protection hidden="1"/>
    </xf>
    <xf numFmtId="176" fontId="6" fillId="2" borderId="13" xfId="0" applyNumberFormat="1" applyFont="1" applyFill="1" applyBorder="1" applyAlignment="1" applyProtection="1">
      <alignment horizontal="center" vertical="center" shrinkToFit="1"/>
      <protection hidden="1"/>
    </xf>
    <xf numFmtId="176" fontId="6" fillId="2" borderId="7" xfId="0" applyNumberFormat="1" applyFont="1" applyFill="1" applyBorder="1" applyAlignment="1" applyProtection="1">
      <alignment horizontal="center" vertical="center" shrinkToFit="1"/>
      <protection hidden="1"/>
    </xf>
    <xf numFmtId="176" fontId="6" fillId="2" borderId="14" xfId="0" applyNumberFormat="1" applyFont="1" applyFill="1" applyBorder="1" applyAlignment="1" applyProtection="1">
      <alignment horizontal="center" vertical="center" shrinkToFit="1"/>
      <protection hidden="1"/>
    </xf>
    <xf numFmtId="176" fontId="19" fillId="0" borderId="3" xfId="0" applyNumberFormat="1" applyFont="1" applyBorder="1" applyAlignment="1" applyProtection="1">
      <alignment vertical="center" shrinkToFit="1"/>
      <protection hidden="1"/>
    </xf>
    <xf numFmtId="176" fontId="19" fillId="0" borderId="9" xfId="0" applyNumberFormat="1" applyFont="1" applyBorder="1" applyAlignment="1" applyProtection="1">
      <alignment vertical="center" shrinkToFit="1"/>
      <protection hidden="1"/>
    </xf>
    <xf numFmtId="176" fontId="19" fillId="2" borderId="8" xfId="0" applyNumberFormat="1" applyFont="1" applyFill="1" applyBorder="1" applyAlignment="1" applyProtection="1">
      <alignment vertical="center" shrinkToFit="1"/>
      <protection hidden="1"/>
    </xf>
    <xf numFmtId="176" fontId="19" fillId="2" borderId="3" xfId="0" applyNumberFormat="1" applyFont="1" applyFill="1" applyBorder="1" applyAlignment="1" applyProtection="1">
      <alignment vertical="center" shrinkToFit="1"/>
      <protection hidden="1"/>
    </xf>
    <xf numFmtId="176" fontId="19" fillId="2" borderId="9" xfId="0" applyNumberFormat="1" applyFont="1" applyFill="1" applyBorder="1" applyAlignment="1" applyProtection="1">
      <alignment vertical="center" shrinkToFit="1"/>
      <protection hidden="1"/>
    </xf>
    <xf numFmtId="176" fontId="18" fillId="0" borderId="13" xfId="0" applyNumberFormat="1" applyFont="1" applyBorder="1" applyAlignment="1" applyProtection="1">
      <alignment vertical="center" shrinkToFit="1"/>
      <protection hidden="1"/>
    </xf>
    <xf numFmtId="176" fontId="18" fillId="0" borderId="7" xfId="0" applyNumberFormat="1" applyFont="1" applyBorder="1" applyAlignment="1" applyProtection="1">
      <alignment vertical="center" shrinkToFit="1"/>
      <protection hidden="1"/>
    </xf>
    <xf numFmtId="176" fontId="18" fillId="0" borderId="14" xfId="0" applyNumberFormat="1" applyFont="1" applyBorder="1" applyAlignment="1" applyProtection="1">
      <alignment vertical="center" shrinkToFit="1"/>
      <protection hidden="1"/>
    </xf>
    <xf numFmtId="176" fontId="18" fillId="0" borderId="13" xfId="0" applyNumberFormat="1" applyFont="1" applyBorder="1" applyAlignment="1" applyProtection="1">
      <alignment horizontal="right" vertical="center" shrinkToFit="1"/>
      <protection hidden="1"/>
    </xf>
    <xf numFmtId="176" fontId="18" fillId="0" borderId="7" xfId="0" applyNumberFormat="1" applyFont="1" applyBorder="1" applyAlignment="1" applyProtection="1">
      <alignment horizontal="right" vertical="center" shrinkToFit="1"/>
      <protection hidden="1"/>
    </xf>
    <xf numFmtId="176" fontId="18" fillId="0" borderId="14" xfId="0" applyNumberFormat="1" applyFont="1" applyBorder="1" applyAlignment="1" applyProtection="1">
      <alignment horizontal="right" vertical="center" shrinkToFit="1"/>
      <protection hidden="1"/>
    </xf>
    <xf numFmtId="0" fontId="6" fillId="2" borderId="13" xfId="0" applyNumberFormat="1" applyFont="1" applyFill="1" applyBorder="1" applyAlignment="1" applyProtection="1">
      <alignment vertical="center" shrinkToFit="1"/>
      <protection hidden="1"/>
    </xf>
    <xf numFmtId="0" fontId="6" fillId="2" borderId="7" xfId="0" applyNumberFormat="1" applyFont="1" applyFill="1" applyBorder="1" applyAlignment="1" applyProtection="1">
      <alignment vertical="center" shrinkToFit="1"/>
      <protection hidden="1"/>
    </xf>
    <xf numFmtId="0" fontId="5" fillId="0" borderId="3" xfId="0" applyNumberFormat="1" applyFont="1" applyBorder="1" applyAlignment="1" applyProtection="1">
      <alignment horizontal="center" vertical="center" shrinkToFit="1"/>
      <protection hidden="1"/>
    </xf>
    <xf numFmtId="176" fontId="18" fillId="0" borderId="8" xfId="0" applyNumberFormat="1" applyFont="1" applyBorder="1" applyAlignment="1" applyProtection="1">
      <alignment vertical="center" shrinkToFit="1"/>
      <protection hidden="1"/>
    </xf>
    <xf numFmtId="176" fontId="18" fillId="0" borderId="3" xfId="0" applyNumberFormat="1" applyFont="1" applyBorder="1" applyAlignment="1" applyProtection="1">
      <alignment vertical="center" shrinkToFit="1"/>
      <protection hidden="1"/>
    </xf>
    <xf numFmtId="176" fontId="18" fillId="0" borderId="9" xfId="0" applyNumberFormat="1" applyFont="1" applyBorder="1" applyAlignment="1" applyProtection="1">
      <alignment vertical="center" shrinkToFit="1"/>
      <protection hidden="1"/>
    </xf>
    <xf numFmtId="176" fontId="18" fillId="0" borderId="5" xfId="0" applyNumberFormat="1" applyFont="1" applyBorder="1" applyAlignment="1" applyProtection="1">
      <alignment vertical="center" shrinkToFit="1"/>
      <protection hidden="1"/>
    </xf>
    <xf numFmtId="176" fontId="18" fillId="0" borderId="1" xfId="0" applyNumberFormat="1" applyFont="1" applyBorder="1" applyAlignment="1" applyProtection="1">
      <alignment vertical="center" shrinkToFit="1"/>
      <protection hidden="1"/>
    </xf>
    <xf numFmtId="176" fontId="18" fillId="0" borderId="6" xfId="0" applyNumberFormat="1" applyFont="1" applyBorder="1" applyAlignment="1" applyProtection="1">
      <alignment vertical="center" shrinkToFit="1"/>
      <protection hidden="1"/>
    </xf>
    <xf numFmtId="0" fontId="6" fillId="0" borderId="12" xfId="0" applyNumberFormat="1" applyFont="1" applyBorder="1" applyAlignment="1" applyProtection="1">
      <alignment horizontal="center" vertical="center"/>
      <protection hidden="1"/>
    </xf>
    <xf numFmtId="178" fontId="6" fillId="0" borderId="12" xfId="0" applyNumberFormat="1" applyFont="1" applyBorder="1" applyAlignment="1" applyProtection="1">
      <alignment horizontal="center" vertical="center"/>
      <protection hidden="1"/>
    </xf>
    <xf numFmtId="178" fontId="6" fillId="4" borderId="12" xfId="0" applyNumberFormat="1" applyFont="1" applyFill="1" applyBorder="1" applyAlignment="1" applyProtection="1">
      <alignment horizontal="center" vertical="center"/>
      <protection hidden="1"/>
    </xf>
    <xf numFmtId="0" fontId="2" fillId="6" borderId="0" xfId="0" applyNumberFormat="1" applyFont="1" applyFill="1" applyAlignment="1" applyProtection="1">
      <alignment horizontal="center" vertical="center"/>
      <protection hidden="1"/>
    </xf>
    <xf numFmtId="176" fontId="2" fillId="4" borderId="0" xfId="0" applyNumberFormat="1" applyFont="1" applyFill="1" applyAlignment="1" applyProtection="1">
      <alignment horizontal="left" vertical="center"/>
      <protection hidden="1"/>
    </xf>
    <xf numFmtId="10" fontId="2" fillId="4" borderId="0" xfId="0" applyNumberFormat="1" applyFont="1" applyFill="1" applyAlignment="1" applyProtection="1">
      <alignment horizontal="left" vertical="center"/>
      <protection hidden="1"/>
    </xf>
    <xf numFmtId="0" fontId="2" fillId="6" borderId="0" xfId="0" applyNumberFormat="1" applyFont="1" applyFill="1" applyAlignment="1" applyProtection="1">
      <alignment vertical="center"/>
      <protection hidden="1"/>
    </xf>
    <xf numFmtId="0" fontId="6" fillId="0" borderId="12" xfId="0" applyNumberFormat="1" applyFont="1" applyBorder="1" applyAlignment="1" applyProtection="1">
      <alignment horizontal="center" vertical="center" wrapText="1"/>
      <protection hidden="1"/>
    </xf>
    <xf numFmtId="0" fontId="6" fillId="4" borderId="12" xfId="0" applyNumberFormat="1" applyFont="1" applyFill="1" applyBorder="1" applyAlignment="1" applyProtection="1">
      <alignment horizontal="center" vertical="center"/>
      <protection hidden="1"/>
    </xf>
    <xf numFmtId="176" fontId="5" fillId="2" borderId="13" xfId="0" applyNumberFormat="1" applyFont="1" applyFill="1" applyBorder="1" applyAlignment="1" applyProtection="1">
      <alignment vertical="center" shrinkToFit="1"/>
      <protection hidden="1"/>
    </xf>
    <xf numFmtId="176" fontId="5" fillId="2" borderId="7" xfId="0" applyNumberFormat="1" applyFont="1" applyFill="1" applyBorder="1" applyAlignment="1" applyProtection="1">
      <alignment vertical="center" shrinkToFit="1"/>
      <protection hidden="1"/>
    </xf>
    <xf numFmtId="176" fontId="5" fillId="2" borderId="14" xfId="0" applyNumberFormat="1" applyFont="1" applyFill="1" applyBorder="1" applyAlignment="1" applyProtection="1">
      <alignment vertical="center" shrinkToFit="1"/>
      <protection hidden="1"/>
    </xf>
    <xf numFmtId="0" fontId="5" fillId="2" borderId="8" xfId="0" applyNumberFormat="1" applyFont="1" applyFill="1" applyBorder="1" applyAlignment="1" applyProtection="1">
      <alignment vertical="center" shrinkToFit="1"/>
      <protection hidden="1"/>
    </xf>
    <xf numFmtId="0" fontId="5" fillId="2" borderId="3" xfId="0" applyNumberFormat="1" applyFont="1" applyFill="1" applyBorder="1" applyAlignment="1" applyProtection="1">
      <alignment vertical="center" shrinkToFit="1"/>
      <protection hidden="1"/>
    </xf>
    <xf numFmtId="0" fontId="5" fillId="2" borderId="9" xfId="0" applyNumberFormat="1" applyFont="1" applyFill="1" applyBorder="1" applyAlignment="1" applyProtection="1">
      <alignment vertical="center" shrinkToFit="1"/>
      <protection hidden="1"/>
    </xf>
    <xf numFmtId="0" fontId="5" fillId="2" borderId="13" xfId="0" applyNumberFormat="1" applyFont="1" applyFill="1" applyBorder="1" applyAlignment="1" applyProtection="1">
      <alignment vertical="center" shrinkToFit="1"/>
      <protection hidden="1"/>
    </xf>
    <xf numFmtId="0" fontId="5" fillId="2" borderId="7" xfId="0" applyNumberFormat="1" applyFont="1" applyFill="1" applyBorder="1" applyAlignment="1" applyProtection="1">
      <alignment vertical="center" shrinkToFit="1"/>
      <protection hidden="1"/>
    </xf>
    <xf numFmtId="176" fontId="5" fillId="0" borderId="13" xfId="0" applyNumberFormat="1" applyFont="1" applyBorder="1" applyAlignment="1" applyProtection="1">
      <alignment horizontal="right" vertical="center" shrinkToFit="1"/>
      <protection hidden="1"/>
    </xf>
    <xf numFmtId="176" fontId="5" fillId="0" borderId="7" xfId="0" applyNumberFormat="1" applyFont="1" applyBorder="1" applyAlignment="1" applyProtection="1">
      <alignment horizontal="right" vertical="center" shrinkToFit="1"/>
      <protection hidden="1"/>
    </xf>
    <xf numFmtId="176" fontId="5" fillId="0" borderId="14" xfId="0" applyNumberFormat="1" applyFont="1" applyBorder="1" applyAlignment="1" applyProtection="1">
      <alignment horizontal="right" vertical="center" shrinkToFit="1"/>
      <protection hidden="1"/>
    </xf>
    <xf numFmtId="176" fontId="5" fillId="2" borderId="8" xfId="0" applyNumberFormat="1" applyFont="1" applyFill="1" applyBorder="1" applyAlignment="1" applyProtection="1">
      <alignment vertical="center" shrinkToFit="1"/>
      <protection hidden="1"/>
    </xf>
    <xf numFmtId="176" fontId="5" fillId="2" borderId="3" xfId="0" applyNumberFormat="1" applyFont="1" applyFill="1" applyBorder="1" applyAlignment="1" applyProtection="1">
      <alignment vertical="center" shrinkToFit="1"/>
      <protection hidden="1"/>
    </xf>
    <xf numFmtId="176" fontId="5" fillId="2" borderId="9" xfId="0" applyNumberFormat="1" applyFont="1" applyFill="1" applyBorder="1" applyAlignment="1" applyProtection="1">
      <alignment vertical="center" shrinkToFit="1"/>
      <protection hidden="1"/>
    </xf>
    <xf numFmtId="0" fontId="5" fillId="0" borderId="13" xfId="0" applyNumberFormat="1" applyFont="1" applyBorder="1" applyAlignment="1" applyProtection="1">
      <alignment horizontal="left" vertical="center" indent="1" shrinkToFit="1"/>
      <protection hidden="1"/>
    </xf>
    <xf numFmtId="0" fontId="5" fillId="0" borderId="7" xfId="0" applyNumberFormat="1" applyFont="1" applyBorder="1" applyAlignment="1" applyProtection="1">
      <alignment horizontal="left" vertical="center" indent="1" shrinkToFit="1"/>
      <protection hidden="1"/>
    </xf>
    <xf numFmtId="0" fontId="5" fillId="0" borderId="14" xfId="0" applyNumberFormat="1" applyFont="1" applyBorder="1" applyAlignment="1" applyProtection="1">
      <alignment horizontal="left" vertical="center" indent="1" shrinkToFit="1"/>
      <protection hidden="1"/>
    </xf>
    <xf numFmtId="0" fontId="5" fillId="4" borderId="2" xfId="0" applyNumberFormat="1" applyFont="1" applyFill="1" applyBorder="1" applyAlignment="1" applyProtection="1">
      <alignment vertical="center" shrinkToFit="1"/>
      <protection hidden="1"/>
    </xf>
    <xf numFmtId="0" fontId="5" fillId="4" borderId="0" xfId="0" applyNumberFormat="1" applyFont="1" applyFill="1" applyAlignment="1" applyProtection="1">
      <alignment vertical="center" shrinkToFit="1"/>
      <protection hidden="1"/>
    </xf>
    <xf numFmtId="0" fontId="5" fillId="4" borderId="4" xfId="0" applyNumberFormat="1" applyFont="1" applyFill="1" applyBorder="1" applyAlignment="1" applyProtection="1">
      <alignment vertical="center" shrinkToFit="1"/>
      <protection hidden="1"/>
    </xf>
    <xf numFmtId="176" fontId="5" fillId="4" borderId="2" xfId="0" applyNumberFormat="1" applyFont="1" applyFill="1" applyBorder="1" applyAlignment="1" applyProtection="1">
      <alignment vertical="center" shrinkToFit="1"/>
      <protection hidden="1"/>
    </xf>
    <xf numFmtId="176" fontId="5" fillId="4" borderId="0" xfId="0" applyNumberFormat="1" applyFont="1" applyFill="1" applyAlignment="1" applyProtection="1">
      <alignment vertical="center" shrinkToFit="1"/>
      <protection hidden="1"/>
    </xf>
    <xf numFmtId="176" fontId="5" fillId="4" borderId="8" xfId="0" applyNumberFormat="1" applyFont="1" applyFill="1" applyBorder="1" applyAlignment="1" applyProtection="1">
      <alignment vertical="center" shrinkToFit="1"/>
      <protection hidden="1"/>
    </xf>
    <xf numFmtId="176" fontId="5" fillId="4" borderId="3" xfId="0" applyNumberFormat="1" applyFont="1" applyFill="1" applyBorder="1" applyAlignment="1" applyProtection="1">
      <alignment vertical="center" shrinkToFit="1"/>
      <protection hidden="1"/>
    </xf>
    <xf numFmtId="176" fontId="5" fillId="4" borderId="9" xfId="0" applyNumberFormat="1" applyFont="1" applyFill="1" applyBorder="1" applyAlignment="1" applyProtection="1">
      <alignment vertical="center" shrinkToFit="1"/>
      <protection hidden="1"/>
    </xf>
    <xf numFmtId="0" fontId="6" fillId="4" borderId="8" xfId="0" applyNumberFormat="1" applyFont="1" applyFill="1" applyBorder="1" applyAlignment="1" applyProtection="1">
      <alignment vertical="center" shrinkToFit="1"/>
      <protection hidden="1"/>
    </xf>
    <xf numFmtId="0" fontId="6" fillId="4" borderId="3" xfId="0" applyNumberFormat="1" applyFont="1" applyFill="1" applyBorder="1" applyAlignment="1" applyProtection="1">
      <alignment vertical="center" shrinkToFit="1"/>
      <protection hidden="1"/>
    </xf>
    <xf numFmtId="0" fontId="6" fillId="4" borderId="9" xfId="0" applyNumberFormat="1" applyFont="1" applyFill="1" applyBorder="1" applyAlignment="1" applyProtection="1">
      <alignment vertical="center" shrinkToFit="1"/>
      <protection hidden="1"/>
    </xf>
    <xf numFmtId="0" fontId="6" fillId="6" borderId="8" xfId="0" applyNumberFormat="1" applyFont="1" applyFill="1" applyBorder="1" applyAlignment="1" applyProtection="1">
      <alignment vertical="center" shrinkToFit="1"/>
      <protection hidden="1"/>
    </xf>
    <xf numFmtId="0" fontId="6" fillId="6" borderId="3" xfId="0" applyNumberFormat="1" applyFont="1" applyFill="1" applyBorder="1" applyAlignment="1" applyProtection="1">
      <alignment vertical="center" shrinkToFit="1"/>
      <protection hidden="1"/>
    </xf>
    <xf numFmtId="0" fontId="6" fillId="6" borderId="9" xfId="0" applyNumberFormat="1" applyFont="1" applyFill="1" applyBorder="1" applyAlignment="1" applyProtection="1">
      <alignment vertical="center" shrinkToFit="1"/>
      <protection hidden="1"/>
    </xf>
    <xf numFmtId="176" fontId="6" fillId="6" borderId="13" xfId="0" applyNumberFormat="1" applyFont="1" applyFill="1" applyBorder="1" applyAlignment="1" applyProtection="1">
      <alignment vertical="center" shrinkToFit="1"/>
      <protection hidden="1"/>
    </xf>
    <xf numFmtId="176" fontId="6" fillId="6" borderId="7" xfId="0" applyNumberFormat="1" applyFont="1" applyFill="1" applyBorder="1" applyAlignment="1" applyProtection="1">
      <alignment vertical="center" shrinkToFit="1"/>
      <protection hidden="1"/>
    </xf>
    <xf numFmtId="176" fontId="6" fillId="6" borderId="14" xfId="0" applyNumberFormat="1" applyFont="1" applyFill="1" applyBorder="1" applyAlignment="1" applyProtection="1">
      <alignment vertical="center" shrinkToFit="1"/>
      <protection hidden="1"/>
    </xf>
    <xf numFmtId="0" fontId="5" fillId="4" borderId="8" xfId="0" applyNumberFormat="1" applyFont="1" applyFill="1" applyBorder="1" applyAlignment="1" applyProtection="1">
      <alignment vertical="center" shrinkToFit="1"/>
      <protection hidden="1"/>
    </xf>
    <xf numFmtId="0" fontId="5" fillId="4" borderId="3" xfId="0" applyNumberFormat="1" applyFont="1" applyFill="1" applyBorder="1" applyAlignment="1" applyProtection="1">
      <alignment vertical="center" shrinkToFit="1"/>
      <protection hidden="1"/>
    </xf>
    <xf numFmtId="0" fontId="5" fillId="4" borderId="9" xfId="0" applyNumberFormat="1" applyFont="1" applyFill="1" applyBorder="1" applyAlignment="1" applyProtection="1">
      <alignment vertical="center" shrinkToFit="1"/>
      <protection hidden="1"/>
    </xf>
    <xf numFmtId="176" fontId="5" fillId="0" borderId="0" xfId="0" applyNumberFormat="1" applyFont="1" applyBorder="1" applyAlignment="1" applyProtection="1">
      <alignment vertical="center" shrinkToFit="1"/>
      <protection hidden="1"/>
    </xf>
    <xf numFmtId="0" fontId="5" fillId="0" borderId="0" xfId="0" applyNumberFormat="1" applyFont="1" applyBorder="1" applyAlignment="1" applyProtection="1">
      <alignment vertical="center" shrinkToFit="1"/>
      <protection hidden="1"/>
    </xf>
    <xf numFmtId="176" fontId="5" fillId="0" borderId="5" xfId="0" applyNumberFormat="1" applyFont="1" applyBorder="1" applyAlignment="1" applyProtection="1">
      <alignment horizontal="left" vertical="center" shrinkToFit="1"/>
      <protection hidden="1"/>
    </xf>
    <xf numFmtId="176" fontId="5" fillId="0" borderId="1" xfId="0" applyNumberFormat="1" applyFont="1" applyBorder="1" applyAlignment="1" applyProtection="1">
      <alignment horizontal="left" vertical="center" shrinkToFit="1"/>
      <protection hidden="1"/>
    </xf>
    <xf numFmtId="176" fontId="5" fillId="0" borderId="6" xfId="0" applyNumberFormat="1" applyFont="1" applyBorder="1" applyAlignment="1" applyProtection="1">
      <alignment horizontal="left" vertical="center" shrinkToFit="1"/>
      <protection hidden="1"/>
    </xf>
    <xf numFmtId="176" fontId="5" fillId="4" borderId="4" xfId="0" applyNumberFormat="1" applyFont="1" applyFill="1" applyBorder="1" applyAlignment="1" applyProtection="1">
      <alignment vertical="center" shrinkToFit="1"/>
      <protection hidden="1"/>
    </xf>
    <xf numFmtId="176" fontId="5" fillId="6" borderId="2" xfId="0" applyNumberFormat="1" applyFont="1" applyFill="1" applyBorder="1" applyAlignment="1" applyProtection="1">
      <alignment vertical="center" shrinkToFit="1"/>
      <protection hidden="1"/>
    </xf>
    <xf numFmtId="176" fontId="5" fillId="6" borderId="0" xfId="0" applyNumberFormat="1" applyFont="1" applyFill="1" applyAlignment="1" applyProtection="1">
      <alignment vertical="center" shrinkToFit="1"/>
      <protection hidden="1"/>
    </xf>
    <xf numFmtId="176" fontId="5" fillId="6" borderId="4" xfId="0" applyNumberFormat="1" applyFont="1" applyFill="1" applyBorder="1" applyAlignment="1" applyProtection="1">
      <alignment vertical="center" shrinkToFit="1"/>
      <protection hidden="1"/>
    </xf>
    <xf numFmtId="176" fontId="5" fillId="6" borderId="5" xfId="0" applyNumberFormat="1" applyFont="1" applyFill="1" applyBorder="1" applyAlignment="1" applyProtection="1">
      <alignment vertical="center" shrinkToFit="1"/>
      <protection hidden="1"/>
    </xf>
    <xf numFmtId="176" fontId="5" fillId="6" borderId="1" xfId="0" applyNumberFormat="1" applyFont="1" applyFill="1" applyBorder="1" applyAlignment="1" applyProtection="1">
      <alignment vertical="center" shrinkToFit="1"/>
      <protection hidden="1"/>
    </xf>
    <xf numFmtId="176" fontId="5" fillId="6" borderId="6" xfId="0" applyNumberFormat="1" applyFont="1" applyFill="1" applyBorder="1" applyAlignment="1" applyProtection="1">
      <alignment vertical="center" shrinkToFit="1"/>
      <protection hidden="1"/>
    </xf>
    <xf numFmtId="0" fontId="5" fillId="6" borderId="2" xfId="0" applyNumberFormat="1" applyFont="1" applyFill="1" applyBorder="1" applyAlignment="1" applyProtection="1">
      <alignment vertical="center" shrinkToFit="1"/>
      <protection hidden="1"/>
    </xf>
    <xf numFmtId="0" fontId="5" fillId="6" borderId="0" xfId="0" applyNumberFormat="1" applyFont="1" applyFill="1" applyAlignment="1" applyProtection="1">
      <alignment vertical="center" shrinkToFit="1"/>
      <protection hidden="1"/>
    </xf>
    <xf numFmtId="0" fontId="5" fillId="6" borderId="4" xfId="0" applyNumberFormat="1" applyFont="1" applyFill="1" applyBorder="1" applyAlignment="1" applyProtection="1">
      <alignment vertical="center" shrinkToFit="1"/>
      <protection hidden="1"/>
    </xf>
    <xf numFmtId="0" fontId="6" fillId="6" borderId="2" xfId="0" applyNumberFormat="1" applyFont="1" applyFill="1" applyBorder="1" applyAlignment="1" applyProtection="1">
      <alignment vertical="center" shrinkToFit="1"/>
      <protection hidden="1"/>
    </xf>
    <xf numFmtId="0" fontId="6" fillId="6" borderId="0" xfId="0" applyNumberFormat="1" applyFont="1" applyFill="1" applyAlignment="1" applyProtection="1">
      <alignment vertical="center" shrinkToFit="1"/>
      <protection hidden="1"/>
    </xf>
    <xf numFmtId="0" fontId="6" fillId="6" borderId="4" xfId="0" applyNumberFormat="1" applyFont="1" applyFill="1" applyBorder="1" applyAlignment="1" applyProtection="1">
      <alignment vertical="center" shrinkToFit="1"/>
      <protection hidden="1"/>
    </xf>
    <xf numFmtId="176" fontId="6" fillId="6" borderId="2" xfId="0" applyNumberFormat="1" applyFont="1" applyFill="1" applyBorder="1" applyAlignment="1" applyProtection="1">
      <alignment vertical="center" shrinkToFit="1"/>
      <protection hidden="1"/>
    </xf>
    <xf numFmtId="176" fontId="6" fillId="6" borderId="0" xfId="0" applyNumberFormat="1" applyFont="1" applyFill="1" applyAlignment="1" applyProtection="1">
      <alignment vertical="center" shrinkToFit="1"/>
      <protection hidden="1"/>
    </xf>
    <xf numFmtId="176" fontId="6" fillId="6" borderId="4" xfId="0" applyNumberFormat="1" applyFont="1" applyFill="1" applyBorder="1" applyAlignment="1" applyProtection="1">
      <alignment vertical="center" shrinkToFit="1"/>
      <protection hidden="1"/>
    </xf>
    <xf numFmtId="0" fontId="6" fillId="4" borderId="2" xfId="0" applyNumberFormat="1" applyFont="1" applyFill="1" applyBorder="1" applyAlignment="1" applyProtection="1">
      <alignment vertical="center" shrinkToFit="1"/>
      <protection hidden="1"/>
    </xf>
    <xf numFmtId="0" fontId="6" fillId="4" borderId="0" xfId="0" applyNumberFormat="1" applyFont="1" applyFill="1" applyAlignment="1" applyProtection="1">
      <alignment vertical="center" shrinkToFit="1"/>
      <protection hidden="1"/>
    </xf>
    <xf numFmtId="0" fontId="6" fillId="4" borderId="4" xfId="0" applyNumberFormat="1" applyFont="1" applyFill="1" applyBorder="1" applyAlignment="1" applyProtection="1">
      <alignment vertical="center" shrinkToFit="1"/>
      <protection hidden="1"/>
    </xf>
    <xf numFmtId="176" fontId="6" fillId="4" borderId="2" xfId="0" applyNumberFormat="1" applyFont="1" applyFill="1" applyBorder="1" applyAlignment="1" applyProtection="1">
      <alignment vertical="center" shrinkToFit="1"/>
      <protection hidden="1"/>
    </xf>
    <xf numFmtId="176" fontId="6" fillId="4" borderId="0" xfId="0" applyNumberFormat="1" applyFont="1" applyFill="1" applyAlignment="1" applyProtection="1">
      <alignment vertical="center" shrinkToFit="1"/>
      <protection hidden="1"/>
    </xf>
    <xf numFmtId="176" fontId="6" fillId="4" borderId="4" xfId="0" applyNumberFormat="1" applyFont="1" applyFill="1" applyBorder="1" applyAlignment="1" applyProtection="1">
      <alignment vertical="center" shrinkToFit="1"/>
      <protection hidden="1"/>
    </xf>
    <xf numFmtId="0" fontId="5" fillId="0" borderId="0" xfId="0" applyNumberFormat="1" applyFont="1" applyAlignment="1" applyProtection="1">
      <alignment vertical="top" wrapText="1" shrinkToFit="1"/>
      <protection hidden="1"/>
    </xf>
    <xf numFmtId="176" fontId="5" fillId="4" borderId="0" xfId="0" applyNumberFormat="1" applyFont="1" applyFill="1" applyAlignment="1" applyProtection="1">
      <alignment horizontal="right" vertical="center" shrinkToFit="1"/>
      <protection hidden="1"/>
    </xf>
    <xf numFmtId="0" fontId="5" fillId="3" borderId="5" xfId="0" applyNumberFormat="1" applyFont="1" applyFill="1" applyBorder="1" applyAlignment="1" applyProtection="1">
      <alignment vertical="center" shrinkToFit="1"/>
      <protection hidden="1"/>
    </xf>
    <xf numFmtId="0" fontId="5" fillId="3" borderId="1" xfId="0" applyNumberFormat="1" applyFont="1" applyFill="1" applyBorder="1" applyAlignment="1" applyProtection="1">
      <alignment vertical="center" shrinkToFit="1"/>
      <protection hidden="1"/>
    </xf>
    <xf numFmtId="0" fontId="5" fillId="3" borderId="6" xfId="0" applyNumberFormat="1" applyFont="1" applyFill="1" applyBorder="1" applyAlignment="1" applyProtection="1">
      <alignment vertical="center" shrinkToFit="1"/>
      <protection hidden="1"/>
    </xf>
    <xf numFmtId="176" fontId="5" fillId="3" borderId="1" xfId="0" applyNumberFormat="1" applyFont="1" applyFill="1" applyBorder="1" applyAlignment="1" applyProtection="1">
      <alignment vertical="center" shrinkToFit="1"/>
      <protection hidden="1"/>
    </xf>
    <xf numFmtId="176" fontId="5" fillId="3" borderId="5" xfId="0" applyNumberFormat="1" applyFont="1" applyFill="1" applyBorder="1" applyAlignment="1" applyProtection="1">
      <alignment vertical="center" shrinkToFit="1"/>
      <protection hidden="1"/>
    </xf>
    <xf numFmtId="176" fontId="5" fillId="3" borderId="6" xfId="0" applyNumberFormat="1" applyFont="1" applyFill="1" applyBorder="1" applyAlignment="1" applyProtection="1">
      <alignment vertical="center" shrinkToFit="1"/>
      <protection hidden="1"/>
    </xf>
    <xf numFmtId="0" fontId="5" fillId="3" borderId="2" xfId="0" applyNumberFormat="1" applyFont="1" applyFill="1" applyBorder="1" applyAlignment="1" applyProtection="1">
      <alignment vertical="center" shrinkToFit="1"/>
      <protection hidden="1"/>
    </xf>
    <xf numFmtId="0" fontId="5" fillId="3" borderId="0" xfId="0" applyNumberFormat="1" applyFont="1" applyFill="1" applyAlignment="1" applyProtection="1">
      <alignment vertical="center" shrinkToFit="1"/>
      <protection hidden="1"/>
    </xf>
    <xf numFmtId="0" fontId="5" fillId="3" borderId="4" xfId="0" applyNumberFormat="1" applyFont="1" applyFill="1" applyBorder="1" applyAlignment="1" applyProtection="1">
      <alignment vertical="center" shrinkToFit="1"/>
      <protection hidden="1"/>
    </xf>
    <xf numFmtId="176" fontId="5" fillId="3" borderId="0" xfId="0" applyNumberFormat="1" applyFont="1" applyFill="1" applyAlignment="1" applyProtection="1">
      <alignment vertical="center" shrinkToFit="1"/>
      <protection hidden="1"/>
    </xf>
    <xf numFmtId="176" fontId="5" fillId="3" borderId="2" xfId="0" applyNumberFormat="1" applyFont="1" applyFill="1" applyBorder="1" applyAlignment="1" applyProtection="1">
      <alignment vertical="center" shrinkToFit="1"/>
      <protection hidden="1"/>
    </xf>
    <xf numFmtId="176" fontId="5" fillId="3" borderId="4" xfId="0" applyNumberFormat="1" applyFont="1" applyFill="1" applyBorder="1" applyAlignment="1" applyProtection="1">
      <alignment vertical="center" shrinkToFit="1"/>
      <protection hidden="1"/>
    </xf>
    <xf numFmtId="176" fontId="5" fillId="5" borderId="2" xfId="0" applyNumberFormat="1" applyFont="1" applyFill="1" applyBorder="1" applyAlignment="1" applyProtection="1">
      <alignment vertical="center"/>
      <protection hidden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zoomScaleNormal="100" zoomScaleSheetLayoutView="75" workbookViewId="0">
      <pane ySplit="2" topLeftCell="A6" activePane="bottomLeft" state="frozen"/>
      <selection pane="bottomLeft" activeCell="G21" sqref="G21"/>
    </sheetView>
  </sheetViews>
  <sheetFormatPr defaultColWidth="9" defaultRowHeight="16.5" x14ac:dyDescent="0.3"/>
  <cols>
    <col min="1" max="7" width="11.625" style="95" customWidth="1"/>
    <col min="8" max="16384" width="9" style="95"/>
  </cols>
  <sheetData>
    <row r="1" spans="1:7" ht="20.25" x14ac:dyDescent="0.3">
      <c r="A1" s="168" t="s">
        <v>466</v>
      </c>
      <c r="B1" s="168"/>
      <c r="C1" s="168"/>
      <c r="D1" s="168"/>
      <c r="E1" s="168"/>
      <c r="F1" s="168"/>
      <c r="G1" s="168"/>
    </row>
    <row r="2" spans="1:7" x14ac:dyDescent="0.3">
      <c r="A2" s="103">
        <f>예산서사전준비!B3</f>
        <v>2024</v>
      </c>
      <c r="B2" s="106" t="s">
        <v>410</v>
      </c>
      <c r="C2" s="107"/>
      <c r="D2" s="107"/>
      <c r="E2" s="107"/>
      <c r="F2" s="107"/>
      <c r="G2" s="107"/>
    </row>
    <row r="3" spans="1:7" x14ac:dyDescent="0.3">
      <c r="A3" s="101"/>
      <c r="B3" s="101"/>
    </row>
    <row r="4" spans="1:7" s="96" customFormat="1" ht="13.5" x14ac:dyDescent="0.3">
      <c r="A4" s="170" t="s">
        <v>131</v>
      </c>
      <c r="B4" s="98" t="s">
        <v>394</v>
      </c>
      <c r="C4" s="98" t="s">
        <v>215</v>
      </c>
      <c r="D4" s="102" t="s">
        <v>138</v>
      </c>
    </row>
    <row r="5" spans="1:7" s="97" customFormat="1" ht="13.5" x14ac:dyDescent="0.3">
      <c r="A5" s="170"/>
      <c r="B5" s="75"/>
      <c r="C5" s="75"/>
      <c r="D5" s="75"/>
    </row>
    <row r="6" spans="1:7" s="96" customFormat="1" ht="13.5" x14ac:dyDescent="0.3">
      <c r="B6" s="97"/>
    </row>
    <row r="7" spans="1:7" s="96" customFormat="1" ht="17.25" x14ac:dyDescent="0.3">
      <c r="A7" s="172" t="s">
        <v>213</v>
      </c>
      <c r="B7" s="172"/>
      <c r="C7" s="172"/>
      <c r="D7" s="172"/>
      <c r="E7" s="172"/>
      <c r="F7" s="172"/>
      <c r="G7" s="172"/>
    </row>
    <row r="8" spans="1:7" s="96" customFormat="1" ht="13.5" x14ac:dyDescent="0.3">
      <c r="A8" s="98" t="s">
        <v>414</v>
      </c>
      <c r="B8" s="104" t="s">
        <v>442</v>
      </c>
      <c r="C8" s="98" t="s">
        <v>129</v>
      </c>
      <c r="D8" s="98" t="s">
        <v>175</v>
      </c>
      <c r="E8" s="98" t="s">
        <v>167</v>
      </c>
      <c r="F8" s="98" t="s">
        <v>117</v>
      </c>
      <c r="G8" s="98" t="s">
        <v>186</v>
      </c>
    </row>
    <row r="9" spans="1:7" s="96" customFormat="1" ht="13.5" x14ac:dyDescent="0.3">
      <c r="A9" s="105">
        <v>0.61099999999999999</v>
      </c>
      <c r="B9" s="105">
        <v>0.65400000000000003</v>
      </c>
      <c r="C9" s="105">
        <v>0.48699999999999999</v>
      </c>
      <c r="D9" s="105">
        <v>0.871</v>
      </c>
      <c r="E9" s="105">
        <v>0.498</v>
      </c>
      <c r="F9" s="105">
        <v>0.60399999999999998</v>
      </c>
      <c r="G9" s="105">
        <v>0.59</v>
      </c>
    </row>
    <row r="10" spans="1:7" s="96" customFormat="1" ht="13.5" x14ac:dyDescent="0.3">
      <c r="B10" s="97"/>
    </row>
    <row r="11" spans="1:7" s="96" customFormat="1" ht="13.5" x14ac:dyDescent="0.3">
      <c r="A11" s="173" t="s">
        <v>40</v>
      </c>
      <c r="B11" s="173"/>
      <c r="C11" s="173"/>
      <c r="D11" s="173"/>
      <c r="E11" s="173"/>
      <c r="F11" s="173"/>
      <c r="G11" s="173"/>
    </row>
    <row r="12" spans="1:7" s="96" customFormat="1" ht="13.5" x14ac:dyDescent="0.3">
      <c r="A12" s="170" t="s">
        <v>434</v>
      </c>
      <c r="B12" s="171" t="s">
        <v>414</v>
      </c>
      <c r="C12" s="171"/>
      <c r="D12" s="171"/>
      <c r="E12" s="171" t="s">
        <v>169</v>
      </c>
      <c r="F12" s="171"/>
      <c r="G12" s="171"/>
    </row>
    <row r="13" spans="1:7" s="96" customFormat="1" ht="13.5" x14ac:dyDescent="0.3">
      <c r="A13" s="170"/>
      <c r="B13" s="98" t="s">
        <v>429</v>
      </c>
      <c r="C13" s="98" t="s">
        <v>73</v>
      </c>
      <c r="D13" s="98" t="s">
        <v>104</v>
      </c>
      <c r="E13" s="98" t="s">
        <v>429</v>
      </c>
      <c r="F13" s="98" t="s">
        <v>73</v>
      </c>
      <c r="G13" s="98" t="s">
        <v>104</v>
      </c>
    </row>
    <row r="14" spans="1:7" s="96" customFormat="1" ht="13.5" x14ac:dyDescent="0.3">
      <c r="A14" s="99">
        <v>1</v>
      </c>
      <c r="B14" s="100">
        <v>84240</v>
      </c>
      <c r="C14" s="100">
        <v>16848</v>
      </c>
      <c r="D14" s="100">
        <f>B14-C14</f>
        <v>67392</v>
      </c>
      <c r="E14" s="100">
        <v>71010</v>
      </c>
      <c r="F14" s="100">
        <v>14202</v>
      </c>
      <c r="G14" s="100">
        <f>E14-F14</f>
        <v>56808</v>
      </c>
    </row>
    <row r="15" spans="1:7" s="96" customFormat="1" ht="13.5" x14ac:dyDescent="0.3">
      <c r="A15" s="99">
        <v>2</v>
      </c>
      <c r="B15" s="100">
        <v>78150</v>
      </c>
      <c r="C15" s="100">
        <v>15630</v>
      </c>
      <c r="D15" s="100">
        <f t="shared" ref="D15:D16" si="0">B15-C15</f>
        <v>62520</v>
      </c>
      <c r="E15" s="100">
        <v>65890</v>
      </c>
      <c r="F15" s="100">
        <v>13178</v>
      </c>
      <c r="G15" s="100">
        <f t="shared" ref="G15:G16" si="1">E15-F15</f>
        <v>52712</v>
      </c>
    </row>
    <row r="16" spans="1:7" s="96" customFormat="1" ht="13.5" x14ac:dyDescent="0.3">
      <c r="A16" s="99" t="s">
        <v>150</v>
      </c>
      <c r="B16" s="100">
        <v>73800</v>
      </c>
      <c r="C16" s="100">
        <v>14760</v>
      </c>
      <c r="D16" s="100">
        <f t="shared" si="0"/>
        <v>59040</v>
      </c>
      <c r="E16" s="100">
        <v>60740</v>
      </c>
      <c r="F16" s="100">
        <v>12148</v>
      </c>
      <c r="G16" s="100">
        <f t="shared" si="1"/>
        <v>48592</v>
      </c>
    </row>
    <row r="17" spans="1:7" s="96" customFormat="1" ht="13.5" x14ac:dyDescent="0.3"/>
    <row r="18" spans="1:7" s="96" customFormat="1" ht="13.5" x14ac:dyDescent="0.3">
      <c r="A18" s="169" t="s">
        <v>21</v>
      </c>
      <c r="B18" s="169"/>
      <c r="C18" s="169"/>
      <c r="D18" s="169"/>
      <c r="E18" s="169"/>
      <c r="F18" s="169"/>
      <c r="G18" s="169"/>
    </row>
    <row r="19" spans="1:7" s="96" customFormat="1" ht="13.5" x14ac:dyDescent="0.3">
      <c r="A19" s="170" t="s">
        <v>434</v>
      </c>
      <c r="B19" s="171" t="s">
        <v>17</v>
      </c>
      <c r="C19" s="171"/>
      <c r="D19" s="171"/>
      <c r="E19" s="171" t="s">
        <v>22</v>
      </c>
      <c r="F19" s="171"/>
      <c r="G19" s="171"/>
    </row>
    <row r="20" spans="1:7" s="96" customFormat="1" ht="13.5" x14ac:dyDescent="0.3">
      <c r="A20" s="170"/>
      <c r="B20" s="98" t="s">
        <v>429</v>
      </c>
      <c r="C20" s="98" t="s">
        <v>73</v>
      </c>
      <c r="D20" s="98" t="s">
        <v>104</v>
      </c>
      <c r="E20" s="98" t="s">
        <v>429</v>
      </c>
      <c r="F20" s="98" t="s">
        <v>73</v>
      </c>
      <c r="G20" s="98" t="s">
        <v>104</v>
      </c>
    </row>
    <row r="21" spans="1:7" s="96" customFormat="1" ht="13.5" x14ac:dyDescent="0.3">
      <c r="A21" s="99">
        <v>1</v>
      </c>
      <c r="B21" s="100">
        <v>66360</v>
      </c>
      <c r="C21" s="100">
        <v>9954</v>
      </c>
      <c r="D21" s="100">
        <f>B21-C21</f>
        <v>56406</v>
      </c>
      <c r="E21" s="100">
        <v>54320</v>
      </c>
      <c r="F21" s="100">
        <v>8148</v>
      </c>
      <c r="G21" s="100">
        <f>E21-F21</f>
        <v>46172</v>
      </c>
    </row>
    <row r="22" spans="1:7" s="96" customFormat="1" ht="13.5" x14ac:dyDescent="0.3">
      <c r="A22" s="99">
        <v>2</v>
      </c>
      <c r="B22" s="100">
        <v>61480</v>
      </c>
      <c r="C22" s="100">
        <v>9222</v>
      </c>
      <c r="D22" s="100">
        <f t="shared" ref="D22:D23" si="2">B22-C22</f>
        <v>52258</v>
      </c>
      <c r="E22" s="100">
        <v>54320</v>
      </c>
      <c r="F22" s="100">
        <v>8148</v>
      </c>
      <c r="G22" s="100">
        <f t="shared" ref="G22:G25" si="3">E22-F22</f>
        <v>46172</v>
      </c>
    </row>
    <row r="23" spans="1:7" s="96" customFormat="1" ht="13.5" x14ac:dyDescent="0.3">
      <c r="A23" s="99">
        <v>3</v>
      </c>
      <c r="B23" s="100">
        <v>56760</v>
      </c>
      <c r="C23" s="100">
        <v>8514</v>
      </c>
      <c r="D23" s="100">
        <f t="shared" si="2"/>
        <v>48246</v>
      </c>
      <c r="E23" s="100">
        <v>54320</v>
      </c>
      <c r="F23" s="100">
        <v>8148</v>
      </c>
      <c r="G23" s="100">
        <f t="shared" si="3"/>
        <v>46172</v>
      </c>
    </row>
    <row r="24" spans="1:7" s="96" customFormat="1" ht="13.5" x14ac:dyDescent="0.3">
      <c r="A24" s="99">
        <v>4</v>
      </c>
      <c r="B24" s="100">
        <v>55210</v>
      </c>
      <c r="C24" s="100">
        <v>8282</v>
      </c>
      <c r="D24" s="100">
        <f>B24-C24</f>
        <v>46928</v>
      </c>
      <c r="E24" s="100">
        <v>54320</v>
      </c>
      <c r="F24" s="100">
        <v>8148</v>
      </c>
      <c r="G24" s="100">
        <f t="shared" si="3"/>
        <v>46172</v>
      </c>
    </row>
    <row r="25" spans="1:7" s="96" customFormat="1" ht="13.5" x14ac:dyDescent="0.3">
      <c r="A25" s="99">
        <v>5</v>
      </c>
      <c r="B25" s="100">
        <v>53640</v>
      </c>
      <c r="C25" s="100">
        <v>8046</v>
      </c>
      <c r="D25" s="100">
        <f>B25-C25</f>
        <v>45594</v>
      </c>
      <c r="E25" s="100">
        <v>54320</v>
      </c>
      <c r="F25" s="100">
        <v>8148</v>
      </c>
      <c r="G25" s="100">
        <f t="shared" si="3"/>
        <v>46172</v>
      </c>
    </row>
    <row r="26" spans="1:7" s="96" customFormat="1" ht="13.5" x14ac:dyDescent="0.3"/>
    <row r="27" spans="1:7" s="96" customFormat="1" ht="13.5" x14ac:dyDescent="0.3">
      <c r="A27" s="169" t="s">
        <v>25</v>
      </c>
      <c r="B27" s="169"/>
      <c r="C27" s="169"/>
      <c r="D27" s="169"/>
      <c r="E27" s="169"/>
      <c r="F27" s="169"/>
      <c r="G27" s="169"/>
    </row>
    <row r="28" spans="1:7" x14ac:dyDescent="0.3">
      <c r="A28" s="170" t="s">
        <v>434</v>
      </c>
      <c r="B28" s="171" t="s">
        <v>54</v>
      </c>
      <c r="C28" s="171"/>
      <c r="D28" s="171"/>
      <c r="E28" s="171" t="s">
        <v>369</v>
      </c>
      <c r="F28" s="171"/>
      <c r="G28" s="171"/>
    </row>
    <row r="29" spans="1:7" x14ac:dyDescent="0.3">
      <c r="A29" s="170"/>
      <c r="B29" s="98" t="s">
        <v>429</v>
      </c>
      <c r="C29" s="98" t="s">
        <v>73</v>
      </c>
      <c r="D29" s="98" t="s">
        <v>104</v>
      </c>
      <c r="E29" s="98" t="s">
        <v>429</v>
      </c>
      <c r="F29" s="98" t="s">
        <v>73</v>
      </c>
      <c r="G29" s="98" t="s">
        <v>104</v>
      </c>
    </row>
    <row r="30" spans="1:7" x14ac:dyDescent="0.3">
      <c r="A30" s="99" t="s">
        <v>354</v>
      </c>
      <c r="B30" s="100">
        <v>84670</v>
      </c>
      <c r="C30" s="100">
        <v>12701</v>
      </c>
      <c r="D30" s="100">
        <f>B30-C30</f>
        <v>71969</v>
      </c>
      <c r="E30" s="104"/>
      <c r="F30" s="104"/>
      <c r="G30" s="104"/>
    </row>
    <row r="31" spans="1:7" x14ac:dyDescent="0.3">
      <c r="A31" s="99" t="s">
        <v>370</v>
      </c>
      <c r="B31" s="100">
        <v>76340</v>
      </c>
      <c r="C31" s="100">
        <v>11451</v>
      </c>
      <c r="D31" s="100">
        <f t="shared" ref="D31:D33" si="4">B31-C31</f>
        <v>64889</v>
      </c>
      <c r="E31" s="104"/>
      <c r="F31" s="104"/>
      <c r="G31" s="104"/>
    </row>
    <row r="32" spans="1:7" x14ac:dyDescent="0.3">
      <c r="A32" s="99" t="s">
        <v>218</v>
      </c>
      <c r="B32" s="100">
        <v>47670</v>
      </c>
      <c r="C32" s="100">
        <v>7151</v>
      </c>
      <c r="D32" s="100">
        <f t="shared" si="4"/>
        <v>40519</v>
      </c>
      <c r="E32" s="104"/>
      <c r="F32" s="104"/>
      <c r="G32" s="104"/>
    </row>
    <row r="33" spans="1:7" x14ac:dyDescent="0.3">
      <c r="A33" s="99" t="s">
        <v>201</v>
      </c>
      <c r="B33" s="104"/>
      <c r="C33" s="104"/>
      <c r="D33" s="104">
        <f t="shared" si="4"/>
        <v>0</v>
      </c>
      <c r="E33" s="100">
        <v>51110</v>
      </c>
      <c r="F33" s="100">
        <v>7667</v>
      </c>
      <c r="G33" s="100">
        <f>E33-F33</f>
        <v>43443</v>
      </c>
    </row>
    <row r="35" spans="1:7" x14ac:dyDescent="0.3">
      <c r="A35" s="169" t="s">
        <v>185</v>
      </c>
      <c r="B35" s="169"/>
      <c r="C35" s="169"/>
      <c r="D35" s="169"/>
      <c r="E35" s="169"/>
      <c r="F35" s="169"/>
      <c r="G35" s="169"/>
    </row>
    <row r="36" spans="1:7" x14ac:dyDescent="0.3">
      <c r="A36" s="170" t="s">
        <v>434</v>
      </c>
      <c r="B36" s="171" t="s">
        <v>353</v>
      </c>
      <c r="C36" s="171"/>
      <c r="D36" s="171"/>
    </row>
    <row r="37" spans="1:7" x14ac:dyDescent="0.3">
      <c r="A37" s="170"/>
      <c r="B37" s="98" t="s">
        <v>429</v>
      </c>
      <c r="C37" s="98" t="s">
        <v>73</v>
      </c>
      <c r="D37" s="98" t="s">
        <v>104</v>
      </c>
    </row>
    <row r="38" spans="1:7" x14ac:dyDescent="0.3">
      <c r="A38" s="99">
        <v>1</v>
      </c>
      <c r="B38" s="100">
        <v>70500</v>
      </c>
      <c r="C38" s="100">
        <v>10575</v>
      </c>
      <c r="D38" s="100">
        <f>B38-C38</f>
        <v>59925</v>
      </c>
    </row>
    <row r="39" spans="1:7" x14ac:dyDescent="0.3">
      <c r="A39" s="99">
        <v>2</v>
      </c>
      <c r="B39" s="100">
        <v>65280</v>
      </c>
      <c r="C39" s="100">
        <v>9792</v>
      </c>
      <c r="D39" s="100">
        <f t="shared" ref="D39:D42" si="5">B39-C39</f>
        <v>55488</v>
      </c>
    </row>
    <row r="40" spans="1:7" x14ac:dyDescent="0.3">
      <c r="A40" s="99">
        <v>3</v>
      </c>
      <c r="B40" s="100">
        <v>60310</v>
      </c>
      <c r="C40" s="100">
        <v>9047</v>
      </c>
      <c r="D40" s="100">
        <f t="shared" si="5"/>
        <v>51263</v>
      </c>
    </row>
    <row r="41" spans="1:7" x14ac:dyDescent="0.3">
      <c r="A41" s="99">
        <v>4</v>
      </c>
      <c r="B41" s="100">
        <v>58720</v>
      </c>
      <c r="C41" s="100">
        <v>8808</v>
      </c>
      <c r="D41" s="100">
        <f t="shared" si="5"/>
        <v>49912</v>
      </c>
    </row>
    <row r="42" spans="1:7" x14ac:dyDescent="0.3">
      <c r="A42" s="99">
        <v>5</v>
      </c>
      <c r="B42" s="100">
        <v>57110</v>
      </c>
      <c r="C42" s="100">
        <v>8567</v>
      </c>
      <c r="D42" s="100">
        <f t="shared" si="5"/>
        <v>48543</v>
      </c>
    </row>
  </sheetData>
  <mergeCells count="18">
    <mergeCell ref="A36:A37"/>
    <mergeCell ref="B36:D36"/>
    <mergeCell ref="A35:G35"/>
    <mergeCell ref="A7:G7"/>
    <mergeCell ref="A4:A5"/>
    <mergeCell ref="A19:A20"/>
    <mergeCell ref="B19:D19"/>
    <mergeCell ref="E19:G19"/>
    <mergeCell ref="A18:G18"/>
    <mergeCell ref="A11:G11"/>
    <mergeCell ref="B12:D12"/>
    <mergeCell ref="E12:G12"/>
    <mergeCell ref="A12:A13"/>
    <mergeCell ref="A1:G1"/>
    <mergeCell ref="A27:G27"/>
    <mergeCell ref="A28:A29"/>
    <mergeCell ref="B28:D28"/>
    <mergeCell ref="E28:G28"/>
  </mergeCells>
  <phoneticPr fontId="16" type="noConversion"/>
  <printOptions horizontalCentered="1"/>
  <pageMargins left="0.51138889789581299" right="0.51138889789581299" top="0.94486111402511597" bottom="0.74750000238418579" header="0.51138889789581299" footer="0.31486111879348755"/>
  <pageSetup paperSize="9" orientation="portrait"/>
  <headerFooter>
    <oddHeader>&amp;C&amp;"맑은 고딕,Regular"퍼스트클래스센터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M188"/>
  <sheetViews>
    <sheetView tabSelected="1" zoomScaleNormal="100" zoomScaleSheetLayoutView="75" workbookViewId="0">
      <pane ySplit="6" topLeftCell="A45" activePane="bottomLeft" state="frozen"/>
      <selection pane="bottomLeft" activeCell="AI47" sqref="AI47:AT47"/>
    </sheetView>
  </sheetViews>
  <sheetFormatPr defaultColWidth="2.625" defaultRowHeight="17.100000000000001" customHeight="1" x14ac:dyDescent="0.3"/>
  <cols>
    <col min="1" max="16" width="2.625" style="8"/>
    <col min="17" max="21" width="2.625" style="8" customWidth="1"/>
    <col min="22" max="34" width="2.625" style="8"/>
    <col min="35" max="47" width="4.625" style="8" customWidth="1"/>
    <col min="48" max="16384" width="2.625" style="8"/>
  </cols>
  <sheetData>
    <row r="1" spans="1:65" ht="30" customHeight="1" x14ac:dyDescent="0.3">
      <c r="A1" s="7"/>
      <c r="B1" s="7"/>
      <c r="C1" s="7"/>
      <c r="D1" s="7"/>
      <c r="E1" s="269">
        <f>예산서사전준비!$B$3</f>
        <v>2024</v>
      </c>
      <c r="F1" s="269"/>
      <c r="G1" s="269"/>
      <c r="H1" s="269"/>
      <c r="I1" s="269"/>
      <c r="J1" s="269"/>
      <c r="K1" s="269"/>
      <c r="L1" s="269"/>
      <c r="M1" s="270" t="s">
        <v>410</v>
      </c>
      <c r="N1" s="270"/>
      <c r="O1" s="270"/>
      <c r="P1" s="270" t="s">
        <v>257</v>
      </c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7"/>
      <c r="AF1" s="7"/>
      <c r="AG1" s="7"/>
      <c r="AH1" s="7"/>
      <c r="AI1" s="344" t="s">
        <v>176</v>
      </c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</row>
    <row r="2" spans="1:65" ht="17.100000000000001" customHeight="1" x14ac:dyDescent="0.3">
      <c r="E2" s="268" t="s">
        <v>453</v>
      </c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I2" s="51"/>
      <c r="AJ2" s="50">
        <v>1</v>
      </c>
      <c r="AK2" s="347" t="s">
        <v>53</v>
      </c>
      <c r="AL2" s="347"/>
      <c r="AM2" s="347"/>
      <c r="AN2" s="347"/>
      <c r="AO2" s="345">
        <v>142177000</v>
      </c>
      <c r="AP2" s="345"/>
      <c r="AQ2" s="345"/>
      <c r="AR2" s="345"/>
      <c r="AS2" s="345"/>
      <c r="AT2" s="345"/>
      <c r="AU2" s="345"/>
      <c r="AV2" s="267" t="s">
        <v>5</v>
      </c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</row>
    <row r="3" spans="1:65" ht="17.100000000000001" customHeight="1" x14ac:dyDescent="0.3">
      <c r="A3" s="292" t="s">
        <v>260</v>
      </c>
      <c r="B3" s="292"/>
      <c r="C3" s="292"/>
      <c r="D3" s="292"/>
      <c r="E3" s="292"/>
      <c r="F3" s="292"/>
      <c r="G3" s="292"/>
      <c r="H3" s="292"/>
      <c r="I3" s="292"/>
      <c r="J3" s="29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293" t="s">
        <v>321</v>
      </c>
      <c r="AC3" s="293"/>
      <c r="AD3" s="293"/>
      <c r="AE3" s="293"/>
      <c r="AF3" s="293"/>
      <c r="AG3" s="293"/>
      <c r="AH3" s="293"/>
      <c r="AI3" s="51"/>
      <c r="AJ3" s="50">
        <v>2</v>
      </c>
      <c r="AK3" s="347" t="s">
        <v>98</v>
      </c>
      <c r="AL3" s="347"/>
      <c r="AM3" s="347"/>
      <c r="AN3" s="347"/>
      <c r="AO3" s="346">
        <f>인건비비율!U26</f>
        <v>0.4949374852559566</v>
      </c>
      <c r="AP3" s="346"/>
      <c r="AQ3" s="346"/>
      <c r="AR3" s="346"/>
      <c r="AS3" s="346"/>
      <c r="AT3" s="346"/>
      <c r="AU3" s="346"/>
      <c r="AV3" s="267" t="s">
        <v>236</v>
      </c>
      <c r="AW3" s="267"/>
      <c r="AX3" s="267"/>
      <c r="AY3" s="267"/>
      <c r="AZ3" s="267"/>
      <c r="BA3" s="267"/>
      <c r="BB3" s="267"/>
      <c r="BC3" s="267"/>
      <c r="BD3" s="267"/>
      <c r="BE3" s="267"/>
      <c r="BF3" s="267"/>
      <c r="BG3" s="267"/>
      <c r="BH3" s="267"/>
      <c r="BI3" s="267"/>
      <c r="BJ3" s="267"/>
      <c r="BK3" s="267"/>
      <c r="BL3" s="267"/>
      <c r="BM3" s="267"/>
    </row>
    <row r="4" spans="1:65" s="10" customFormat="1" ht="17.100000000000001" customHeight="1" x14ac:dyDescent="0.3">
      <c r="A4" s="271" t="s">
        <v>84</v>
      </c>
      <c r="B4" s="271"/>
      <c r="C4" s="271"/>
      <c r="D4" s="271"/>
      <c r="E4" s="271"/>
      <c r="F4" s="271"/>
      <c r="G4" s="271"/>
      <c r="H4" s="271"/>
      <c r="I4" s="271"/>
      <c r="J4" s="271"/>
      <c r="K4" s="315" t="s">
        <v>266</v>
      </c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7"/>
      <c r="AI4" s="348" t="s">
        <v>190</v>
      </c>
      <c r="AJ4" s="341" t="s">
        <v>414</v>
      </c>
      <c r="AK4" s="341"/>
      <c r="AL4" s="341" t="s">
        <v>442</v>
      </c>
      <c r="AM4" s="341"/>
      <c r="AN4" s="341" t="s">
        <v>129</v>
      </c>
      <c r="AO4" s="341"/>
      <c r="AP4" s="349" t="s">
        <v>175</v>
      </c>
      <c r="AQ4" s="349"/>
      <c r="AR4" s="341" t="s">
        <v>167</v>
      </c>
      <c r="AS4" s="341"/>
      <c r="AT4" s="341" t="s">
        <v>117</v>
      </c>
      <c r="AU4" s="341"/>
    </row>
    <row r="5" spans="1:65" s="10" customFormat="1" ht="17.100000000000001" customHeight="1" x14ac:dyDescent="0.3">
      <c r="A5" s="271" t="s">
        <v>397</v>
      </c>
      <c r="B5" s="271"/>
      <c r="C5" s="271" t="s">
        <v>386</v>
      </c>
      <c r="D5" s="271"/>
      <c r="E5" s="271" t="s">
        <v>416</v>
      </c>
      <c r="F5" s="271"/>
      <c r="G5" s="271"/>
      <c r="H5" s="271"/>
      <c r="I5" s="271"/>
      <c r="J5" s="271"/>
      <c r="K5" s="315" t="s">
        <v>380</v>
      </c>
      <c r="L5" s="316"/>
      <c r="M5" s="316"/>
      <c r="N5" s="316"/>
      <c r="O5" s="316"/>
      <c r="P5" s="317"/>
      <c r="Q5" s="315" t="s">
        <v>440</v>
      </c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7"/>
      <c r="AC5" s="315" t="s">
        <v>412</v>
      </c>
      <c r="AD5" s="316"/>
      <c r="AE5" s="316"/>
      <c r="AF5" s="316"/>
      <c r="AG5" s="316"/>
      <c r="AH5" s="317"/>
      <c r="AI5" s="348"/>
      <c r="AJ5" s="342">
        <v>0.61099999999999999</v>
      </c>
      <c r="AK5" s="342"/>
      <c r="AL5" s="342">
        <v>0.65400000000000003</v>
      </c>
      <c r="AM5" s="342"/>
      <c r="AN5" s="342">
        <v>0.48699999999999999</v>
      </c>
      <c r="AO5" s="342"/>
      <c r="AP5" s="343">
        <v>0.871</v>
      </c>
      <c r="AQ5" s="343"/>
      <c r="AR5" s="342">
        <v>0.498</v>
      </c>
      <c r="AS5" s="342"/>
      <c r="AT5" s="342">
        <v>0.60399999999999998</v>
      </c>
      <c r="AU5" s="342"/>
    </row>
    <row r="6" spans="1:65" s="10" customFormat="1" ht="17.100000000000001" customHeight="1" x14ac:dyDescent="0.3">
      <c r="A6" s="271" t="s">
        <v>401</v>
      </c>
      <c r="B6" s="271"/>
      <c r="C6" s="271"/>
      <c r="D6" s="271"/>
      <c r="E6" s="271"/>
      <c r="F6" s="271"/>
      <c r="G6" s="271"/>
      <c r="H6" s="271"/>
      <c r="I6" s="271"/>
      <c r="J6" s="271"/>
      <c r="K6" s="318">
        <f>AC7+AC69+AC74+AC97+AC101+AC104+AC108+AC111+AC115</f>
        <v>43805870</v>
      </c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20"/>
      <c r="AI6" s="300" t="s">
        <v>262</v>
      </c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45"/>
    </row>
    <row r="7" spans="1:65" s="10" customFormat="1" ht="17.100000000000001" customHeight="1" x14ac:dyDescent="0.3">
      <c r="A7" s="277" t="s">
        <v>179</v>
      </c>
      <c r="B7" s="278"/>
      <c r="C7" s="278"/>
      <c r="D7" s="278"/>
      <c r="E7" s="278"/>
      <c r="F7" s="278"/>
      <c r="G7" s="278"/>
      <c r="H7" s="278"/>
      <c r="I7" s="278"/>
      <c r="J7" s="278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302">
        <f>AC8+AC44+AC51</f>
        <v>43158450</v>
      </c>
      <c r="AD7" s="302"/>
      <c r="AE7" s="302"/>
      <c r="AF7" s="302"/>
      <c r="AG7" s="302"/>
      <c r="AH7" s="30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</row>
    <row r="8" spans="1:65" s="10" customFormat="1" ht="17.100000000000001" customHeight="1" x14ac:dyDescent="0.3">
      <c r="A8" s="11"/>
      <c r="B8" s="353" t="s">
        <v>168</v>
      </c>
      <c r="C8" s="354"/>
      <c r="D8" s="354"/>
      <c r="E8" s="354"/>
      <c r="F8" s="354"/>
      <c r="G8" s="354"/>
      <c r="H8" s="354"/>
      <c r="I8" s="354"/>
      <c r="J8" s="355"/>
      <c r="K8" s="26"/>
      <c r="L8" s="27"/>
      <c r="M8" s="27"/>
      <c r="N8" s="27"/>
      <c r="O8" s="27"/>
      <c r="P8" s="28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9">
        <f>AC9+AC27+AC30+AC33</f>
        <v>38208450</v>
      </c>
      <c r="AD8" s="290"/>
      <c r="AE8" s="290"/>
      <c r="AF8" s="290"/>
      <c r="AG8" s="290"/>
      <c r="AH8" s="291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</row>
    <row r="9" spans="1:65" s="10" customFormat="1" ht="17.100000000000001" customHeight="1" x14ac:dyDescent="0.3">
      <c r="A9" s="11"/>
      <c r="B9" s="12"/>
      <c r="C9" s="277" t="s">
        <v>101</v>
      </c>
      <c r="D9" s="278"/>
      <c r="E9" s="278"/>
      <c r="F9" s="278"/>
      <c r="G9" s="278"/>
      <c r="H9" s="278"/>
      <c r="I9" s="278"/>
      <c r="J9" s="288"/>
      <c r="K9" s="277"/>
      <c r="L9" s="278"/>
      <c r="M9" s="278"/>
      <c r="N9" s="278"/>
      <c r="O9" s="278"/>
      <c r="P9" s="288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308">
        <f>AC10+AC17</f>
        <v>32760000</v>
      </c>
      <c r="AD9" s="302"/>
      <c r="AE9" s="302"/>
      <c r="AF9" s="302"/>
      <c r="AG9" s="302"/>
      <c r="AH9" s="303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</row>
    <row r="10" spans="1:65" s="10" customFormat="1" ht="17.100000000000001" customHeight="1" x14ac:dyDescent="0.3">
      <c r="A10" s="11"/>
      <c r="B10" s="12"/>
      <c r="C10" s="29"/>
      <c r="D10" s="414" t="s">
        <v>220</v>
      </c>
      <c r="E10" s="414"/>
      <c r="F10" s="414"/>
      <c r="G10" s="414"/>
      <c r="H10" s="414"/>
      <c r="I10" s="414"/>
      <c r="J10" s="90"/>
      <c r="K10" s="408" t="s">
        <v>267</v>
      </c>
      <c r="L10" s="409"/>
      <c r="M10" s="409"/>
      <c r="N10" s="409"/>
      <c r="O10" s="409"/>
      <c r="P10" s="410"/>
      <c r="Q10" s="412"/>
      <c r="R10" s="412"/>
      <c r="S10" s="412"/>
      <c r="T10" s="412"/>
      <c r="U10" s="409"/>
      <c r="V10" s="409"/>
      <c r="W10" s="33"/>
      <c r="X10" s="409"/>
      <c r="Y10" s="409"/>
      <c r="Z10" s="33"/>
      <c r="AA10" s="409"/>
      <c r="AB10" s="409"/>
      <c r="AC10" s="411">
        <f>SUM(AC11:AH15)</f>
        <v>26550000</v>
      </c>
      <c r="AD10" s="412"/>
      <c r="AE10" s="412"/>
      <c r="AF10" s="412"/>
      <c r="AG10" s="412"/>
      <c r="AH10" s="413"/>
      <c r="AI10" s="299" t="str">
        <f t="shared" ref="AI10:AI29" si="0">CONCATENATE(K10,Q10,U10,W10,X10,Z10,AA10,AC10)</f>
        <v>급여(직접비)  26550000</v>
      </c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14"/>
      <c r="AV10" s="14"/>
      <c r="AW10" s="14"/>
    </row>
    <row r="11" spans="1:65" s="10" customFormat="1" ht="17.100000000000001" customHeight="1" x14ac:dyDescent="0.3">
      <c r="A11" s="11"/>
      <c r="B11" s="12"/>
      <c r="C11" s="11"/>
      <c r="D11" s="414"/>
      <c r="E11" s="414"/>
      <c r="F11" s="414"/>
      <c r="G11" s="414"/>
      <c r="H11" s="414"/>
      <c r="I11" s="414"/>
      <c r="J11" s="90"/>
      <c r="K11" s="285" t="s">
        <v>157</v>
      </c>
      <c r="L11" s="263"/>
      <c r="M11" s="263"/>
      <c r="N11" s="263"/>
      <c r="O11" s="263"/>
      <c r="P11" s="286"/>
      <c r="Q11" s="264">
        <f>예산서사전준비!$B$37</f>
        <v>2070000</v>
      </c>
      <c r="R11" s="264"/>
      <c r="S11" s="264"/>
      <c r="T11" s="264"/>
      <c r="U11" s="263" t="s">
        <v>379</v>
      </c>
      <c r="V11" s="263"/>
      <c r="W11" s="17">
        <f>예산서사전준비!B38</f>
        <v>1</v>
      </c>
      <c r="X11" s="263" t="s">
        <v>406</v>
      </c>
      <c r="Y11" s="263"/>
      <c r="Z11" s="17">
        <v>3</v>
      </c>
      <c r="AA11" s="263" t="s">
        <v>418</v>
      </c>
      <c r="AB11" s="263"/>
      <c r="AC11" s="306">
        <f>ROUNDUP(Q11*W11*Z11,-1)</f>
        <v>6210000</v>
      </c>
      <c r="AD11" s="298"/>
      <c r="AE11" s="298"/>
      <c r="AF11" s="298"/>
      <c r="AG11" s="298"/>
      <c r="AH11" s="307"/>
      <c r="AI11" s="299" t="str">
        <f t="shared" si="0"/>
        <v>사회복지사2070000원×1명×3월 =6210000</v>
      </c>
      <c r="AJ11" s="299"/>
      <c r="AK11" s="299"/>
      <c r="AL11" s="299"/>
      <c r="AM11" s="299"/>
      <c r="AN11" s="299"/>
      <c r="AO11" s="299"/>
      <c r="AP11" s="299"/>
      <c r="AQ11" s="299"/>
      <c r="AR11" s="299"/>
      <c r="AS11" s="299"/>
      <c r="AT11" s="299"/>
      <c r="AU11" s="14"/>
      <c r="AV11" s="14"/>
      <c r="AW11" s="14"/>
    </row>
    <row r="12" spans="1:65" s="10" customFormat="1" ht="17.100000000000001" hidden="1" customHeight="1" x14ac:dyDescent="0.3">
      <c r="A12" s="11"/>
      <c r="B12" s="12"/>
      <c r="C12" s="11"/>
      <c r="D12" s="414"/>
      <c r="E12" s="414"/>
      <c r="F12" s="414"/>
      <c r="G12" s="414"/>
      <c r="H12" s="414"/>
      <c r="I12" s="414"/>
      <c r="J12" s="90"/>
      <c r="K12" s="285" t="s">
        <v>32</v>
      </c>
      <c r="L12" s="263"/>
      <c r="M12" s="263"/>
      <c r="N12" s="263"/>
      <c r="O12" s="263"/>
      <c r="P12" s="286"/>
      <c r="Q12" s="298">
        <f>예산서사전준비!C37</f>
        <v>0</v>
      </c>
      <c r="R12" s="298"/>
      <c r="S12" s="298"/>
      <c r="T12" s="298"/>
      <c r="U12" s="263" t="s">
        <v>379</v>
      </c>
      <c r="V12" s="263"/>
      <c r="W12" s="17">
        <f>예산서사전준비!C38</f>
        <v>0</v>
      </c>
      <c r="X12" s="263" t="s">
        <v>406</v>
      </c>
      <c r="Y12" s="263"/>
      <c r="Z12" s="17">
        <f>예산서사전준비!$D$3</f>
        <v>6</v>
      </c>
      <c r="AA12" s="263" t="s">
        <v>418</v>
      </c>
      <c r="AB12" s="263"/>
      <c r="AC12" s="306">
        <f>ROUNDUP(Q12*W12*Z12,-1)</f>
        <v>0</v>
      </c>
      <c r="AD12" s="298"/>
      <c r="AE12" s="298"/>
      <c r="AF12" s="298"/>
      <c r="AG12" s="298"/>
      <c r="AH12" s="307"/>
      <c r="AI12" s="299" t="str">
        <f>CONCATENATE(K12,Q12,U12,W12,X12,Z12,AA12,AC12)</f>
        <v>간호(조무)사(평균)  0원×0명×6월 =0</v>
      </c>
      <c r="AJ12" s="299"/>
      <c r="AK12" s="299"/>
      <c r="AL12" s="299"/>
      <c r="AM12" s="299"/>
      <c r="AN12" s="299"/>
      <c r="AO12" s="299"/>
      <c r="AP12" s="299"/>
      <c r="AQ12" s="299"/>
      <c r="AR12" s="299"/>
      <c r="AS12" s="299"/>
      <c r="AT12" s="299"/>
      <c r="AU12" s="14"/>
      <c r="AV12" s="14"/>
      <c r="AW12" s="14"/>
    </row>
    <row r="13" spans="1:65" s="10" customFormat="1" ht="17.100000000000001" hidden="1" customHeight="1" x14ac:dyDescent="0.3">
      <c r="A13" s="11"/>
      <c r="B13" s="12"/>
      <c r="C13" s="11"/>
      <c r="D13" s="414"/>
      <c r="E13" s="414"/>
      <c r="F13" s="414"/>
      <c r="G13" s="414"/>
      <c r="H13" s="414"/>
      <c r="I13" s="414"/>
      <c r="J13" s="90"/>
      <c r="K13" s="285" t="s">
        <v>39</v>
      </c>
      <c r="L13" s="263"/>
      <c r="M13" s="263"/>
      <c r="N13" s="263"/>
      <c r="O13" s="263"/>
      <c r="P13" s="286"/>
      <c r="Q13" s="298">
        <f>예산서사전준비!D37</f>
        <v>0</v>
      </c>
      <c r="R13" s="298"/>
      <c r="S13" s="298"/>
      <c r="T13" s="298"/>
      <c r="U13" s="263" t="s">
        <v>379</v>
      </c>
      <c r="V13" s="263"/>
      <c r="W13" s="17">
        <f>예산서사전준비!D38</f>
        <v>0</v>
      </c>
      <c r="X13" s="263" t="s">
        <v>406</v>
      </c>
      <c r="Y13" s="263"/>
      <c r="Z13" s="17">
        <f>예산서사전준비!$D$3</f>
        <v>6</v>
      </c>
      <c r="AA13" s="263" t="s">
        <v>418</v>
      </c>
      <c r="AB13" s="263"/>
      <c r="AC13" s="306">
        <f t="shared" ref="AC13:AC25" si="1">ROUNDUP(Q13*W13*Z13,-1)</f>
        <v>0</v>
      </c>
      <c r="AD13" s="298"/>
      <c r="AE13" s="298"/>
      <c r="AF13" s="298"/>
      <c r="AG13" s="298"/>
      <c r="AH13" s="307"/>
      <c r="AI13" s="299" t="str">
        <f t="shared" ref="AI13:AI25" si="2">CONCATENATE(K13,Q13,U13,W13,X13,Z13,AA13,AC13)</f>
        <v>물리(작업)치료사(평균)0원×0명×6월 =0</v>
      </c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14"/>
      <c r="AV13" s="14"/>
      <c r="AW13" s="14"/>
    </row>
    <row r="14" spans="1:65" s="10" customFormat="1" ht="17.100000000000001" customHeight="1" x14ac:dyDescent="0.3">
      <c r="A14" s="11"/>
      <c r="B14" s="12"/>
      <c r="C14" s="11"/>
      <c r="D14" s="414"/>
      <c r="E14" s="414"/>
      <c r="F14" s="414"/>
      <c r="G14" s="414"/>
      <c r="H14" s="414"/>
      <c r="I14" s="414"/>
      <c r="J14" s="90"/>
      <c r="K14" s="285" t="s">
        <v>363</v>
      </c>
      <c r="L14" s="263"/>
      <c r="M14" s="263"/>
      <c r="N14" s="263"/>
      <c r="O14" s="263"/>
      <c r="P14" s="286"/>
      <c r="Q14" s="298">
        <f>인건비balance!B10</f>
        <v>452000</v>
      </c>
      <c r="R14" s="298"/>
      <c r="S14" s="298"/>
      <c r="T14" s="298"/>
      <c r="U14" s="263" t="s">
        <v>379</v>
      </c>
      <c r="V14" s="263"/>
      <c r="W14" s="17">
        <f>예산서사전준비!E38</f>
        <v>15</v>
      </c>
      <c r="X14" s="263" t="s">
        <v>406</v>
      </c>
      <c r="Y14" s="263"/>
      <c r="Z14" s="17">
        <v>3</v>
      </c>
      <c r="AA14" s="263" t="s">
        <v>418</v>
      </c>
      <c r="AB14" s="263"/>
      <c r="AC14" s="306">
        <f t="shared" si="1"/>
        <v>20340000</v>
      </c>
      <c r="AD14" s="298"/>
      <c r="AE14" s="298"/>
      <c r="AF14" s="298"/>
      <c r="AG14" s="298"/>
      <c r="AH14" s="307"/>
      <c r="AI14" s="299" t="str">
        <f t="shared" si="2"/>
        <v>요양보호사(평균)452000원×15명×3월 =20340000</v>
      </c>
      <c r="AJ14" s="299"/>
      <c r="AK14" s="299"/>
      <c r="AL14" s="299"/>
      <c r="AM14" s="299"/>
      <c r="AN14" s="299"/>
      <c r="AO14" s="299"/>
      <c r="AP14" s="299"/>
      <c r="AQ14" s="299"/>
      <c r="AR14" s="299"/>
      <c r="AS14" s="299"/>
      <c r="AT14" s="299"/>
      <c r="AU14" s="14"/>
      <c r="AV14" s="14"/>
      <c r="AW14" s="14"/>
    </row>
    <row r="15" spans="1:65" s="10" customFormat="1" ht="17.100000000000001" hidden="1" customHeight="1" x14ac:dyDescent="0.3">
      <c r="A15" s="11"/>
      <c r="B15" s="12"/>
      <c r="C15" s="11"/>
      <c r="D15" s="414"/>
      <c r="E15" s="414"/>
      <c r="F15" s="414"/>
      <c r="G15" s="414"/>
      <c r="H15" s="414"/>
      <c r="I15" s="414"/>
      <c r="J15" s="90"/>
      <c r="K15" s="285"/>
      <c r="L15" s="263"/>
      <c r="M15" s="263"/>
      <c r="N15" s="263"/>
      <c r="O15" s="263"/>
      <c r="P15" s="286"/>
      <c r="Q15" s="264"/>
      <c r="R15" s="264"/>
      <c r="S15" s="264"/>
      <c r="T15" s="264"/>
      <c r="U15" s="263"/>
      <c r="V15" s="263"/>
      <c r="W15" s="17"/>
      <c r="X15" s="263"/>
      <c r="Y15" s="263"/>
      <c r="Z15" s="17"/>
      <c r="AA15" s="263"/>
      <c r="AB15" s="263"/>
      <c r="AC15" s="306">
        <f>ROUNDUP(Q15*W15*Z15,-1)</f>
        <v>0</v>
      </c>
      <c r="AD15" s="298"/>
      <c r="AE15" s="298"/>
      <c r="AF15" s="298"/>
      <c r="AG15" s="298"/>
      <c r="AH15" s="307"/>
      <c r="AI15" s="299" t="str">
        <f>CONCATENATE(K15,Q15,U15,W15,X15,Z15,AA15,AC15)</f>
        <v>0</v>
      </c>
      <c r="AJ15" s="299"/>
      <c r="AK15" s="299"/>
      <c r="AL15" s="299"/>
      <c r="AM15" s="299"/>
      <c r="AN15" s="299"/>
      <c r="AO15" s="299"/>
      <c r="AP15" s="299"/>
      <c r="AQ15" s="299"/>
      <c r="AR15" s="299"/>
      <c r="AS15" s="299"/>
      <c r="AT15" s="299"/>
      <c r="AU15" s="14"/>
      <c r="AV15" s="14"/>
      <c r="AW15" s="14"/>
    </row>
    <row r="16" spans="1:65" s="10" customFormat="1" ht="17.100000000000001" customHeight="1" x14ac:dyDescent="0.3">
      <c r="A16" s="11"/>
      <c r="B16" s="12"/>
      <c r="C16" s="11"/>
      <c r="D16" s="414"/>
      <c r="E16" s="414"/>
      <c r="F16" s="414"/>
      <c r="G16" s="414"/>
      <c r="H16" s="414"/>
      <c r="I16" s="414"/>
      <c r="J16" s="16"/>
      <c r="K16" s="416"/>
      <c r="L16" s="417"/>
      <c r="M16" s="417"/>
      <c r="N16" s="417"/>
      <c r="O16" s="417"/>
      <c r="P16" s="418"/>
      <c r="Q16" s="419"/>
      <c r="R16" s="419"/>
      <c r="S16" s="419"/>
      <c r="T16" s="419"/>
      <c r="U16" s="417"/>
      <c r="V16" s="417"/>
      <c r="W16" s="32"/>
      <c r="X16" s="417"/>
      <c r="Y16" s="417"/>
      <c r="Z16" s="32"/>
      <c r="AA16" s="417"/>
      <c r="AB16" s="417"/>
      <c r="AC16" s="420"/>
      <c r="AD16" s="419"/>
      <c r="AE16" s="419"/>
      <c r="AF16" s="419"/>
      <c r="AG16" s="419"/>
      <c r="AH16" s="421"/>
      <c r="AI16" s="299" t="str">
        <f t="shared" si="2"/>
        <v/>
      </c>
      <c r="AJ16" s="299"/>
      <c r="AK16" s="299"/>
      <c r="AL16" s="299"/>
      <c r="AM16" s="299"/>
      <c r="AN16" s="299"/>
      <c r="AO16" s="299"/>
      <c r="AP16" s="299"/>
      <c r="AQ16" s="299"/>
      <c r="AR16" s="299"/>
      <c r="AS16" s="299"/>
      <c r="AT16" s="299"/>
      <c r="AU16" s="14"/>
      <c r="AV16" s="14"/>
      <c r="AW16" s="14"/>
    </row>
    <row r="17" spans="1:49" s="10" customFormat="1" ht="17.100000000000001" customHeight="1" x14ac:dyDescent="0.3">
      <c r="A17" s="11"/>
      <c r="B17" s="12"/>
      <c r="C17" s="11"/>
      <c r="D17" s="414"/>
      <c r="E17" s="414"/>
      <c r="F17" s="414"/>
      <c r="G17" s="414"/>
      <c r="H17" s="414"/>
      <c r="I17" s="414"/>
      <c r="J17" s="16"/>
      <c r="K17" s="402" t="s">
        <v>281</v>
      </c>
      <c r="L17" s="403"/>
      <c r="M17" s="403"/>
      <c r="N17" s="403"/>
      <c r="O17" s="403"/>
      <c r="P17" s="404"/>
      <c r="Q17" s="406"/>
      <c r="R17" s="406"/>
      <c r="S17" s="406"/>
      <c r="T17" s="406"/>
      <c r="U17" s="403"/>
      <c r="V17" s="403"/>
      <c r="W17" s="88"/>
      <c r="X17" s="403"/>
      <c r="Y17" s="403"/>
      <c r="Z17" s="88"/>
      <c r="AA17" s="403"/>
      <c r="AB17" s="403"/>
      <c r="AC17" s="405">
        <f>SUM(AC18:AH25)</f>
        <v>6210000</v>
      </c>
      <c r="AD17" s="406"/>
      <c r="AE17" s="406"/>
      <c r="AF17" s="406"/>
      <c r="AG17" s="406"/>
      <c r="AH17" s="407"/>
      <c r="AI17" s="299" t="str">
        <f t="shared" si="2"/>
        <v>급여(간접비)  6210000</v>
      </c>
      <c r="AJ17" s="299"/>
      <c r="AK17" s="299"/>
      <c r="AL17" s="299"/>
      <c r="AM17" s="299"/>
      <c r="AN17" s="299"/>
      <c r="AO17" s="299"/>
      <c r="AP17" s="299"/>
      <c r="AQ17" s="299"/>
      <c r="AR17" s="299"/>
      <c r="AS17" s="299"/>
      <c r="AT17" s="299"/>
      <c r="AU17" s="14"/>
      <c r="AV17" s="14"/>
      <c r="AW17" s="14"/>
    </row>
    <row r="18" spans="1:49" s="10" customFormat="1" ht="17.100000000000001" customHeight="1" x14ac:dyDescent="0.3">
      <c r="A18" s="11"/>
      <c r="B18" s="12"/>
      <c r="C18" s="11"/>
      <c r="D18" s="414"/>
      <c r="E18" s="414"/>
      <c r="F18" s="414"/>
      <c r="G18" s="414"/>
      <c r="H18" s="414"/>
      <c r="I18" s="414"/>
      <c r="J18" s="16"/>
      <c r="K18" s="285" t="s">
        <v>155</v>
      </c>
      <c r="L18" s="263"/>
      <c r="M18" s="263"/>
      <c r="N18" s="263"/>
      <c r="O18" s="263"/>
      <c r="P18" s="286"/>
      <c r="Q18" s="298">
        <f>예산서사전준비!F37</f>
        <v>2070000</v>
      </c>
      <c r="R18" s="298"/>
      <c r="S18" s="298"/>
      <c r="T18" s="298"/>
      <c r="U18" s="263" t="s">
        <v>379</v>
      </c>
      <c r="V18" s="263"/>
      <c r="W18" s="17">
        <f>예산서사전준비!F38</f>
        <v>1</v>
      </c>
      <c r="X18" s="263" t="s">
        <v>406</v>
      </c>
      <c r="Y18" s="263"/>
      <c r="Z18" s="17">
        <v>3</v>
      </c>
      <c r="AA18" s="263" t="s">
        <v>418</v>
      </c>
      <c r="AB18" s="263"/>
      <c r="AC18" s="306">
        <f t="shared" ref="AC18:AC22" si="3">ROUNDUP(Q18*W18*Z18,-1)</f>
        <v>6210000</v>
      </c>
      <c r="AD18" s="298"/>
      <c r="AE18" s="298"/>
      <c r="AF18" s="298"/>
      <c r="AG18" s="298"/>
      <c r="AH18" s="307"/>
      <c r="AI18" s="299" t="str">
        <f t="shared" ref="AI18:AI22" si="4">CONCATENATE(K18,Q18,U18,W18,X18,Z18,AA18,AC18)</f>
        <v>시설장(대표)2070000원×1명×3월 =6210000</v>
      </c>
      <c r="AJ18" s="299"/>
      <c r="AK18" s="299"/>
      <c r="AL18" s="299"/>
      <c r="AM18" s="299"/>
      <c r="AN18" s="299"/>
      <c r="AO18" s="299"/>
      <c r="AP18" s="299"/>
      <c r="AQ18" s="299"/>
      <c r="AR18" s="299"/>
      <c r="AS18" s="299"/>
      <c r="AT18" s="299"/>
      <c r="AU18" s="14"/>
      <c r="AV18" s="14"/>
      <c r="AW18" s="14"/>
    </row>
    <row r="19" spans="1:49" s="10" customFormat="1" ht="17.100000000000001" hidden="1" customHeight="1" x14ac:dyDescent="0.3">
      <c r="A19" s="11"/>
      <c r="B19" s="12"/>
      <c r="C19" s="11"/>
      <c r="D19" s="414"/>
      <c r="E19" s="414"/>
      <c r="F19" s="414"/>
      <c r="G19" s="414"/>
      <c r="H19" s="414"/>
      <c r="I19" s="414"/>
      <c r="J19" s="16"/>
      <c r="K19" s="285" t="s">
        <v>349</v>
      </c>
      <c r="L19" s="263"/>
      <c r="M19" s="263"/>
      <c r="N19" s="263"/>
      <c r="O19" s="263"/>
      <c r="P19" s="286"/>
      <c r="Q19" s="298">
        <f>예산서사전준비!G37</f>
        <v>0</v>
      </c>
      <c r="R19" s="298"/>
      <c r="S19" s="298"/>
      <c r="T19" s="298"/>
      <c r="U19" s="263" t="s">
        <v>379</v>
      </c>
      <c r="V19" s="263"/>
      <c r="W19" s="17">
        <f>예산서사전준비!G38</f>
        <v>0</v>
      </c>
      <c r="X19" s="263" t="s">
        <v>406</v>
      </c>
      <c r="Y19" s="263"/>
      <c r="Z19" s="17">
        <f>예산서사전준비!$D$3</f>
        <v>6</v>
      </c>
      <c r="AA19" s="263" t="s">
        <v>418</v>
      </c>
      <c r="AB19" s="263"/>
      <c r="AC19" s="306">
        <f>ROUNDUP(Q19*W19*Z19,-1)</f>
        <v>0</v>
      </c>
      <c r="AD19" s="298"/>
      <c r="AE19" s="298"/>
      <c r="AF19" s="298"/>
      <c r="AG19" s="298"/>
      <c r="AH19" s="307"/>
      <c r="AI19" s="299" t="str">
        <f>CONCATENATE(K19,Q19,U19,W19,X19,Z19,AA19,AC19)</f>
        <v>시설장(직원)) 0원×0명×6월 =0</v>
      </c>
      <c r="AJ19" s="299"/>
      <c r="AK19" s="299"/>
      <c r="AL19" s="299"/>
      <c r="AM19" s="299"/>
      <c r="AN19" s="299"/>
      <c r="AO19" s="299"/>
      <c r="AP19" s="299"/>
      <c r="AQ19" s="299"/>
      <c r="AR19" s="299"/>
      <c r="AS19" s="299"/>
      <c r="AT19" s="299"/>
      <c r="AU19" s="14"/>
      <c r="AV19" s="14"/>
      <c r="AW19" s="14"/>
    </row>
    <row r="20" spans="1:49" s="10" customFormat="1" ht="17.100000000000001" hidden="1" customHeight="1" x14ac:dyDescent="0.3">
      <c r="A20" s="11"/>
      <c r="B20" s="12"/>
      <c r="C20" s="11"/>
      <c r="D20" s="414"/>
      <c r="E20" s="414"/>
      <c r="F20" s="414"/>
      <c r="G20" s="414"/>
      <c r="H20" s="414"/>
      <c r="I20" s="414"/>
      <c r="J20" s="16"/>
      <c r="K20" s="285" t="s">
        <v>202</v>
      </c>
      <c r="L20" s="263"/>
      <c r="M20" s="263"/>
      <c r="N20" s="263"/>
      <c r="O20" s="263"/>
      <c r="P20" s="286"/>
      <c r="Q20" s="298">
        <f>예산서사전준비!H37</f>
        <v>0</v>
      </c>
      <c r="R20" s="298"/>
      <c r="S20" s="298"/>
      <c r="T20" s="298"/>
      <c r="U20" s="263" t="s">
        <v>379</v>
      </c>
      <c r="V20" s="263"/>
      <c r="W20" s="17">
        <f>예산서사전준비!H38</f>
        <v>0</v>
      </c>
      <c r="X20" s="263" t="s">
        <v>406</v>
      </c>
      <c r="Y20" s="263"/>
      <c r="Z20" s="17">
        <f>예산서사전준비!$D$3</f>
        <v>6</v>
      </c>
      <c r="AA20" s="263" t="s">
        <v>418</v>
      </c>
      <c r="AB20" s="263"/>
      <c r="AC20" s="306">
        <f t="shared" si="3"/>
        <v>0</v>
      </c>
      <c r="AD20" s="298"/>
      <c r="AE20" s="298"/>
      <c r="AF20" s="298"/>
      <c r="AG20" s="298"/>
      <c r="AH20" s="307"/>
      <c r="AI20" s="299" t="str">
        <f t="shared" si="4"/>
        <v>사무국장0원×0명×6월 =0</v>
      </c>
      <c r="AJ20" s="299"/>
      <c r="AK20" s="299"/>
      <c r="AL20" s="299"/>
      <c r="AM20" s="299"/>
      <c r="AN20" s="299"/>
      <c r="AO20" s="299"/>
      <c r="AP20" s="299"/>
      <c r="AQ20" s="299"/>
      <c r="AR20" s="299"/>
      <c r="AS20" s="299"/>
      <c r="AT20" s="299"/>
      <c r="AU20" s="14"/>
      <c r="AV20" s="14"/>
      <c r="AW20" s="14"/>
    </row>
    <row r="21" spans="1:49" s="10" customFormat="1" ht="17.100000000000001" hidden="1" customHeight="1" x14ac:dyDescent="0.3">
      <c r="A21" s="11"/>
      <c r="B21" s="12"/>
      <c r="C21" s="11"/>
      <c r="D21" s="414"/>
      <c r="E21" s="414"/>
      <c r="F21" s="414"/>
      <c r="G21" s="414"/>
      <c r="H21" s="414"/>
      <c r="I21" s="414"/>
      <c r="J21" s="16"/>
      <c r="K21" s="285" t="s">
        <v>122</v>
      </c>
      <c r="L21" s="263"/>
      <c r="M21" s="263"/>
      <c r="N21" s="263"/>
      <c r="O21" s="263"/>
      <c r="P21" s="286"/>
      <c r="Q21" s="298">
        <f>예산서사전준비!B40</f>
        <v>0</v>
      </c>
      <c r="R21" s="298"/>
      <c r="S21" s="298"/>
      <c r="T21" s="298"/>
      <c r="U21" s="263" t="s">
        <v>379</v>
      </c>
      <c r="V21" s="263"/>
      <c r="W21" s="17">
        <f>예산서사전준비!B41</f>
        <v>0</v>
      </c>
      <c r="X21" s="263" t="s">
        <v>406</v>
      </c>
      <c r="Y21" s="263"/>
      <c r="Z21" s="17">
        <f>예산서사전준비!$D$3</f>
        <v>6</v>
      </c>
      <c r="AA21" s="263" t="s">
        <v>418</v>
      </c>
      <c r="AB21" s="263"/>
      <c r="AC21" s="306">
        <f t="shared" si="3"/>
        <v>0</v>
      </c>
      <c r="AD21" s="298"/>
      <c r="AE21" s="298"/>
      <c r="AF21" s="298"/>
      <c r="AG21" s="298"/>
      <c r="AH21" s="307"/>
      <c r="AI21" s="299" t="str">
        <f t="shared" si="4"/>
        <v>사무원  0원×0명×6월 =0</v>
      </c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14"/>
      <c r="AV21" s="14"/>
      <c r="AW21" s="14"/>
    </row>
    <row r="22" spans="1:49" s="10" customFormat="1" ht="17.100000000000001" hidden="1" customHeight="1" x14ac:dyDescent="0.3">
      <c r="A22" s="11"/>
      <c r="B22" s="12"/>
      <c r="C22" s="11"/>
      <c r="D22" s="15"/>
      <c r="E22" s="15"/>
      <c r="F22" s="15"/>
      <c r="G22" s="15"/>
      <c r="H22" s="15"/>
      <c r="I22" s="15"/>
      <c r="J22" s="16"/>
      <c r="K22" s="285" t="s">
        <v>120</v>
      </c>
      <c r="L22" s="263"/>
      <c r="M22" s="263"/>
      <c r="N22" s="263"/>
      <c r="O22" s="263"/>
      <c r="P22" s="286"/>
      <c r="Q22" s="298">
        <f>예산서사전준비!C40</f>
        <v>0</v>
      </c>
      <c r="R22" s="298"/>
      <c r="S22" s="298"/>
      <c r="T22" s="298"/>
      <c r="U22" s="263" t="s">
        <v>379</v>
      </c>
      <c r="V22" s="263"/>
      <c r="W22" s="17">
        <f>예산서사전준비!C41</f>
        <v>0</v>
      </c>
      <c r="X22" s="263" t="s">
        <v>406</v>
      </c>
      <c r="Y22" s="263"/>
      <c r="Z22" s="17">
        <f>예산서사전준비!$D$3</f>
        <v>6</v>
      </c>
      <c r="AA22" s="263" t="s">
        <v>418</v>
      </c>
      <c r="AB22" s="263"/>
      <c r="AC22" s="306">
        <f t="shared" si="3"/>
        <v>0</v>
      </c>
      <c r="AD22" s="298"/>
      <c r="AE22" s="298"/>
      <c r="AF22" s="298"/>
      <c r="AG22" s="298"/>
      <c r="AH22" s="307"/>
      <c r="AI22" s="299" t="str">
        <f t="shared" si="4"/>
        <v>조리원  0원×0명×6월 =0</v>
      </c>
      <c r="AJ22" s="299"/>
      <c r="AK22" s="299"/>
      <c r="AL22" s="299"/>
      <c r="AM22" s="299"/>
      <c r="AN22" s="299"/>
      <c r="AO22" s="299"/>
      <c r="AP22" s="299"/>
      <c r="AQ22" s="299"/>
      <c r="AR22" s="299"/>
      <c r="AS22" s="299"/>
      <c r="AT22" s="299"/>
      <c r="AU22" s="14"/>
      <c r="AV22" s="14"/>
      <c r="AW22" s="14"/>
    </row>
    <row r="23" spans="1:49" s="10" customFormat="1" ht="17.100000000000001" hidden="1" customHeight="1" x14ac:dyDescent="0.3">
      <c r="A23" s="11"/>
      <c r="B23" s="12"/>
      <c r="C23" s="11"/>
      <c r="D23" s="15"/>
      <c r="E23" s="15"/>
      <c r="F23" s="15"/>
      <c r="G23" s="15"/>
      <c r="H23" s="15"/>
      <c r="I23" s="15"/>
      <c r="J23" s="16"/>
      <c r="K23" s="285" t="s">
        <v>130</v>
      </c>
      <c r="L23" s="263"/>
      <c r="M23" s="263"/>
      <c r="N23" s="263"/>
      <c r="O23" s="263"/>
      <c r="P23" s="286"/>
      <c r="Q23" s="298">
        <f>예산서사전준비!D40</f>
        <v>0</v>
      </c>
      <c r="R23" s="298"/>
      <c r="S23" s="298"/>
      <c r="T23" s="298"/>
      <c r="U23" s="263" t="s">
        <v>379</v>
      </c>
      <c r="V23" s="263"/>
      <c r="W23" s="17">
        <f>예산서사전준비!D41</f>
        <v>0</v>
      </c>
      <c r="X23" s="263" t="s">
        <v>406</v>
      </c>
      <c r="Y23" s="263"/>
      <c r="Z23" s="17">
        <f>예산서사전준비!$D$3</f>
        <v>6</v>
      </c>
      <c r="AA23" s="263" t="s">
        <v>418</v>
      </c>
      <c r="AB23" s="263"/>
      <c r="AC23" s="306">
        <f t="shared" ref="AC23:AC24" si="5">ROUNDUP(Q23*W23*Z23,-1)</f>
        <v>0</v>
      </c>
      <c r="AD23" s="298"/>
      <c r="AE23" s="298"/>
      <c r="AF23" s="298"/>
      <c r="AG23" s="298"/>
      <c r="AH23" s="307"/>
      <c r="AI23" s="299" t="str">
        <f t="shared" ref="AI23:AI24" si="6">CONCATENATE(K23,Q23,U23,W23,X23,Z23,AA23,AC23)</f>
        <v>관리인  0원×0명×6월 =0</v>
      </c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14"/>
      <c r="AV23" s="14"/>
      <c r="AW23" s="14"/>
    </row>
    <row r="24" spans="1:49" s="10" customFormat="1" ht="17.100000000000001" hidden="1" customHeight="1" x14ac:dyDescent="0.3">
      <c r="A24" s="11"/>
      <c r="B24" s="12"/>
      <c r="C24" s="11"/>
      <c r="D24" s="15"/>
      <c r="E24" s="15"/>
      <c r="F24" s="15"/>
      <c r="G24" s="15"/>
      <c r="H24" s="15"/>
      <c r="I24" s="15"/>
      <c r="J24" s="16"/>
      <c r="K24" s="285" t="s">
        <v>439</v>
      </c>
      <c r="L24" s="263"/>
      <c r="M24" s="263"/>
      <c r="N24" s="263"/>
      <c r="O24" s="263"/>
      <c r="P24" s="286"/>
      <c r="Q24" s="298">
        <f>예산서사전준비!E40</f>
        <v>0</v>
      </c>
      <c r="R24" s="298"/>
      <c r="S24" s="298"/>
      <c r="T24" s="298"/>
      <c r="U24" s="263" t="s">
        <v>379</v>
      </c>
      <c r="V24" s="263"/>
      <c r="W24" s="17">
        <f>예산서사전준비!E41</f>
        <v>0</v>
      </c>
      <c r="X24" s="263" t="s">
        <v>406</v>
      </c>
      <c r="Y24" s="263"/>
      <c r="Z24" s="17">
        <f>예산서사전준비!$D$3</f>
        <v>6</v>
      </c>
      <c r="AA24" s="263" t="s">
        <v>418</v>
      </c>
      <c r="AB24" s="263"/>
      <c r="AC24" s="306">
        <f t="shared" si="5"/>
        <v>0</v>
      </c>
      <c r="AD24" s="298"/>
      <c r="AE24" s="298"/>
      <c r="AF24" s="298"/>
      <c r="AG24" s="298"/>
      <c r="AH24" s="307"/>
      <c r="AI24" s="299" t="str">
        <f t="shared" si="6"/>
        <v>위생인0원×0명×6월 =0</v>
      </c>
      <c r="AJ24" s="299"/>
      <c r="AK24" s="299"/>
      <c r="AL24" s="299"/>
      <c r="AM24" s="299"/>
      <c r="AN24" s="299"/>
      <c r="AO24" s="299"/>
      <c r="AP24" s="299"/>
      <c r="AQ24" s="299"/>
      <c r="AR24" s="299"/>
      <c r="AS24" s="299"/>
      <c r="AT24" s="299"/>
      <c r="AU24" s="14"/>
      <c r="AV24" s="14"/>
      <c r="AW24" s="14"/>
    </row>
    <row r="25" spans="1:49" s="10" customFormat="1" ht="17.100000000000001" hidden="1" customHeight="1" x14ac:dyDescent="0.3">
      <c r="A25" s="11"/>
      <c r="B25" s="12"/>
      <c r="C25" s="11"/>
      <c r="D25" s="15"/>
      <c r="E25" s="15"/>
      <c r="F25" s="15"/>
      <c r="G25" s="15"/>
      <c r="H25" s="15"/>
      <c r="I25" s="15"/>
      <c r="J25" s="16"/>
      <c r="K25" s="285" t="s">
        <v>119</v>
      </c>
      <c r="L25" s="263"/>
      <c r="M25" s="263"/>
      <c r="N25" s="263"/>
      <c r="O25" s="263"/>
      <c r="P25" s="286"/>
      <c r="Q25" s="298">
        <f>예산서사전준비!F40</f>
        <v>0</v>
      </c>
      <c r="R25" s="298"/>
      <c r="S25" s="298"/>
      <c r="T25" s="298"/>
      <c r="U25" s="263" t="s">
        <v>379</v>
      </c>
      <c r="V25" s="263"/>
      <c r="W25" s="17">
        <f>예산서사전준비!F41</f>
        <v>0</v>
      </c>
      <c r="X25" s="263" t="s">
        <v>406</v>
      </c>
      <c r="Y25" s="263"/>
      <c r="Z25" s="17">
        <f>예산서사전준비!$D$3</f>
        <v>6</v>
      </c>
      <c r="AA25" s="263" t="s">
        <v>418</v>
      </c>
      <c r="AB25" s="263"/>
      <c r="AC25" s="306">
        <f t="shared" si="1"/>
        <v>0</v>
      </c>
      <c r="AD25" s="298"/>
      <c r="AE25" s="298"/>
      <c r="AF25" s="298"/>
      <c r="AG25" s="298"/>
      <c r="AH25" s="307"/>
      <c r="AI25" s="299" t="str">
        <f t="shared" si="2"/>
        <v>운전원  0원×0명×6월 =0</v>
      </c>
      <c r="AJ25" s="299"/>
      <c r="AK25" s="299"/>
      <c r="AL25" s="299"/>
      <c r="AM25" s="299"/>
      <c r="AN25" s="299"/>
      <c r="AO25" s="299"/>
      <c r="AP25" s="299"/>
      <c r="AQ25" s="299"/>
      <c r="AR25" s="299"/>
      <c r="AS25" s="299"/>
      <c r="AT25" s="299"/>
      <c r="AU25" s="14"/>
      <c r="AV25" s="14"/>
      <c r="AW25" s="14"/>
    </row>
    <row r="26" spans="1:49" s="10" customFormat="1" ht="17.100000000000001" customHeight="1" x14ac:dyDescent="0.3">
      <c r="A26" s="11"/>
      <c r="B26" s="12"/>
      <c r="C26" s="18"/>
      <c r="D26" s="19"/>
      <c r="E26" s="19"/>
      <c r="F26" s="19"/>
      <c r="G26" s="19"/>
      <c r="H26" s="19"/>
      <c r="I26" s="19"/>
      <c r="J26" s="20"/>
      <c r="K26" s="422"/>
      <c r="L26" s="423"/>
      <c r="M26" s="423"/>
      <c r="N26" s="423"/>
      <c r="O26" s="423"/>
      <c r="P26" s="424"/>
      <c r="Q26" s="425"/>
      <c r="R26" s="425"/>
      <c r="S26" s="425"/>
      <c r="T26" s="425"/>
      <c r="U26" s="423"/>
      <c r="V26" s="423"/>
      <c r="W26" s="31"/>
      <c r="X26" s="423"/>
      <c r="Y26" s="423"/>
      <c r="Z26" s="31"/>
      <c r="AA26" s="423"/>
      <c r="AB26" s="423"/>
      <c r="AC26" s="426"/>
      <c r="AD26" s="425"/>
      <c r="AE26" s="425"/>
      <c r="AF26" s="425"/>
      <c r="AG26" s="425"/>
      <c r="AH26" s="427"/>
      <c r="AI26" s="299" t="str">
        <f t="shared" si="0"/>
        <v/>
      </c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  <c r="AU26" s="14"/>
      <c r="AV26" s="14"/>
      <c r="AW26" s="14"/>
    </row>
    <row r="27" spans="1:49" s="10" customFormat="1" ht="17.100000000000001" hidden="1" customHeight="1" x14ac:dyDescent="0.3">
      <c r="A27" s="11"/>
      <c r="B27" s="12"/>
      <c r="C27" s="294" t="s">
        <v>276</v>
      </c>
      <c r="D27" s="295"/>
      <c r="E27" s="295"/>
      <c r="F27" s="295"/>
      <c r="G27" s="295"/>
      <c r="H27" s="295"/>
      <c r="I27" s="295"/>
      <c r="J27" s="296"/>
      <c r="K27" s="294"/>
      <c r="L27" s="295"/>
      <c r="M27" s="295"/>
      <c r="N27" s="295"/>
      <c r="O27" s="295"/>
      <c r="P27" s="296"/>
      <c r="Q27" s="295"/>
      <c r="R27" s="295"/>
      <c r="S27" s="295"/>
      <c r="T27" s="295"/>
      <c r="U27" s="295"/>
      <c r="V27" s="295"/>
      <c r="W27" s="13"/>
      <c r="X27" s="295"/>
      <c r="Y27" s="295"/>
      <c r="Z27" s="13"/>
      <c r="AA27" s="295"/>
      <c r="AB27" s="295"/>
      <c r="AC27" s="309">
        <f>AC28+AC29</f>
        <v>0</v>
      </c>
      <c r="AD27" s="310"/>
      <c r="AE27" s="310"/>
      <c r="AF27" s="310"/>
      <c r="AG27" s="310"/>
      <c r="AH27" s="311"/>
      <c r="AI27" s="299"/>
      <c r="AJ27" s="299"/>
      <c r="AK27" s="299"/>
      <c r="AL27" s="299"/>
      <c r="AM27" s="299"/>
      <c r="AN27" s="299"/>
      <c r="AO27" s="299"/>
      <c r="AP27" s="299"/>
      <c r="AQ27" s="299"/>
      <c r="AR27" s="299"/>
      <c r="AS27" s="299"/>
      <c r="AT27" s="299"/>
    </row>
    <row r="28" spans="1:49" s="10" customFormat="1" ht="17.100000000000001" hidden="1" customHeight="1" x14ac:dyDescent="0.3">
      <c r="A28" s="11"/>
      <c r="B28" s="12"/>
      <c r="C28" s="11"/>
      <c r="D28" s="15"/>
      <c r="E28" s="15"/>
      <c r="F28" s="15"/>
      <c r="G28" s="15"/>
      <c r="H28" s="15"/>
      <c r="I28" s="15"/>
      <c r="J28" s="16"/>
      <c r="K28" s="367" t="s">
        <v>7</v>
      </c>
      <c r="L28" s="368"/>
      <c r="M28" s="368"/>
      <c r="N28" s="368"/>
      <c r="O28" s="368"/>
      <c r="P28" s="369"/>
      <c r="Q28" s="415"/>
      <c r="R28" s="415"/>
      <c r="S28" s="415"/>
      <c r="T28" s="415"/>
      <c r="U28" s="368" t="s">
        <v>379</v>
      </c>
      <c r="V28" s="368"/>
      <c r="W28" s="92">
        <f>예산서사전준비!$D$3</f>
        <v>6</v>
      </c>
      <c r="X28" s="368" t="s">
        <v>418</v>
      </c>
      <c r="Y28" s="368"/>
      <c r="Z28" s="92"/>
      <c r="AA28" s="368"/>
      <c r="AB28" s="368"/>
      <c r="AC28" s="370">
        <f>ROUNDUP(Q28*W28,-1)</f>
        <v>0</v>
      </c>
      <c r="AD28" s="371"/>
      <c r="AE28" s="371"/>
      <c r="AF28" s="371"/>
      <c r="AG28" s="371"/>
      <c r="AH28" s="392"/>
      <c r="AI28" s="299" t="str">
        <f t="shared" si="0"/>
        <v>각종수당(직접비)   원×6월 =0</v>
      </c>
      <c r="AJ28" s="299"/>
      <c r="AK28" s="299"/>
      <c r="AL28" s="299"/>
      <c r="AM28" s="299"/>
      <c r="AN28" s="299"/>
      <c r="AO28" s="299"/>
      <c r="AP28" s="299"/>
      <c r="AQ28" s="299"/>
      <c r="AR28" s="299"/>
      <c r="AS28" s="299"/>
      <c r="AT28" s="299"/>
    </row>
    <row r="29" spans="1:49" s="10" customFormat="1" ht="17.100000000000001" hidden="1" customHeight="1" x14ac:dyDescent="0.3">
      <c r="A29" s="11"/>
      <c r="B29" s="12"/>
      <c r="C29" s="18"/>
      <c r="D29" s="19"/>
      <c r="E29" s="19"/>
      <c r="F29" s="19"/>
      <c r="G29" s="19"/>
      <c r="H29" s="19"/>
      <c r="I29" s="19"/>
      <c r="J29" s="20"/>
      <c r="K29" s="399" t="s">
        <v>274</v>
      </c>
      <c r="L29" s="400"/>
      <c r="M29" s="400"/>
      <c r="N29" s="400"/>
      <c r="O29" s="400"/>
      <c r="P29" s="401"/>
      <c r="Q29" s="394"/>
      <c r="R29" s="394"/>
      <c r="S29" s="394"/>
      <c r="T29" s="394"/>
      <c r="U29" s="400" t="s">
        <v>379</v>
      </c>
      <c r="V29" s="400"/>
      <c r="W29" s="91">
        <f>예산서사전준비!$D$3</f>
        <v>6</v>
      </c>
      <c r="X29" s="400" t="s">
        <v>418</v>
      </c>
      <c r="Y29" s="400"/>
      <c r="Z29" s="91"/>
      <c r="AA29" s="400"/>
      <c r="AB29" s="400"/>
      <c r="AC29" s="393">
        <f>ROUNDUP(Q29*W29,-1)</f>
        <v>0</v>
      </c>
      <c r="AD29" s="394"/>
      <c r="AE29" s="394"/>
      <c r="AF29" s="394"/>
      <c r="AG29" s="394"/>
      <c r="AH29" s="395"/>
      <c r="AI29" s="299" t="str">
        <f t="shared" si="0"/>
        <v>각종수당(간접비)  원×6월 =0</v>
      </c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</row>
    <row r="30" spans="1:49" s="10" customFormat="1" ht="17.100000000000001" customHeight="1" x14ac:dyDescent="0.3">
      <c r="A30" s="11"/>
      <c r="B30" s="12"/>
      <c r="C30" s="294" t="s">
        <v>44</v>
      </c>
      <c r="D30" s="295"/>
      <c r="E30" s="295"/>
      <c r="F30" s="295"/>
      <c r="G30" s="295"/>
      <c r="H30" s="295"/>
      <c r="I30" s="295"/>
      <c r="J30" s="296"/>
      <c r="K30" s="294"/>
      <c r="L30" s="295"/>
      <c r="M30" s="295"/>
      <c r="N30" s="295"/>
      <c r="O30" s="295"/>
      <c r="P30" s="296"/>
      <c r="Q30" s="295"/>
      <c r="R30" s="295"/>
      <c r="S30" s="295"/>
      <c r="T30" s="295"/>
      <c r="U30" s="295"/>
      <c r="V30" s="295"/>
      <c r="W30" s="13"/>
      <c r="X30" s="295"/>
      <c r="Y30" s="295"/>
      <c r="Z30" s="13"/>
      <c r="AA30" s="295"/>
      <c r="AB30" s="295"/>
      <c r="AC30" s="309">
        <f>AC31+AC32</f>
        <v>2212500</v>
      </c>
      <c r="AD30" s="310"/>
      <c r="AE30" s="310"/>
      <c r="AF30" s="310"/>
      <c r="AG30" s="310"/>
      <c r="AH30" s="311"/>
      <c r="AI30" s="299"/>
      <c r="AJ30" s="299"/>
      <c r="AK30" s="299"/>
      <c r="AL30" s="299"/>
      <c r="AM30" s="299"/>
      <c r="AN30" s="299"/>
      <c r="AO30" s="299"/>
      <c r="AP30" s="299"/>
      <c r="AQ30" s="299"/>
      <c r="AR30" s="299"/>
      <c r="AS30" s="299"/>
      <c r="AT30" s="299"/>
    </row>
    <row r="31" spans="1:49" s="10" customFormat="1" ht="17.100000000000001" customHeight="1" x14ac:dyDescent="0.3">
      <c r="A31" s="11"/>
      <c r="B31" s="12"/>
      <c r="C31" s="11"/>
      <c r="D31" s="15"/>
      <c r="E31" s="15"/>
      <c r="F31" s="15"/>
      <c r="G31" s="15"/>
      <c r="H31" s="15"/>
      <c r="I31" s="15"/>
      <c r="J31" s="16"/>
      <c r="K31" s="367" t="s">
        <v>45</v>
      </c>
      <c r="L31" s="368"/>
      <c r="M31" s="368"/>
      <c r="N31" s="368"/>
      <c r="O31" s="368"/>
      <c r="P31" s="369"/>
      <c r="Q31" s="370" t="s">
        <v>35</v>
      </c>
      <c r="R31" s="371"/>
      <c r="S31" s="371"/>
      <c r="T31" s="371"/>
      <c r="U31" s="371"/>
      <c r="V31" s="371"/>
      <c r="W31" s="371"/>
      <c r="X31" s="371"/>
      <c r="Y31" s="371"/>
      <c r="Z31" s="371"/>
      <c r="AA31" s="371"/>
      <c r="AB31" s="392"/>
      <c r="AC31" s="370">
        <f>ROUNDUP((AC10/12),-1)</f>
        <v>2212500</v>
      </c>
      <c r="AD31" s="371"/>
      <c r="AE31" s="371"/>
      <c r="AF31" s="371"/>
      <c r="AG31" s="371"/>
      <c r="AH31" s="392"/>
      <c r="AI31" s="299" t="str">
        <f>CONCATENATE(Q31,U31,W31,X31,Z31,AA31,AC31)</f>
        <v>임금 총액의 8.3%  2212500</v>
      </c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  <c r="AT31" s="299"/>
    </row>
    <row r="32" spans="1:49" s="10" customFormat="1" ht="17.100000000000001" customHeight="1" x14ac:dyDescent="0.3">
      <c r="A32" s="11"/>
      <c r="B32" s="12"/>
      <c r="C32" s="18"/>
      <c r="D32" s="19"/>
      <c r="E32" s="19"/>
      <c r="F32" s="19"/>
      <c r="G32" s="19"/>
      <c r="H32" s="19"/>
      <c r="I32" s="19"/>
      <c r="J32" s="20"/>
      <c r="K32" s="399" t="s">
        <v>20</v>
      </c>
      <c r="L32" s="400"/>
      <c r="M32" s="400"/>
      <c r="N32" s="400"/>
      <c r="O32" s="400"/>
      <c r="P32" s="401"/>
      <c r="Q32" s="396" t="s">
        <v>35</v>
      </c>
      <c r="R32" s="397"/>
      <c r="S32" s="397"/>
      <c r="T32" s="397"/>
      <c r="U32" s="397"/>
      <c r="V32" s="397"/>
      <c r="W32" s="397"/>
      <c r="X32" s="397"/>
      <c r="Y32" s="397"/>
      <c r="Z32" s="397"/>
      <c r="AA32" s="397"/>
      <c r="AB32" s="398"/>
      <c r="AC32" s="393">
        <f>ROUNDUP((AC17-AC18)/12,-1)</f>
        <v>0</v>
      </c>
      <c r="AD32" s="394"/>
      <c r="AE32" s="394"/>
      <c r="AF32" s="394"/>
      <c r="AG32" s="394"/>
      <c r="AH32" s="395"/>
      <c r="AI32" s="299" t="str">
        <f>CONCATENATE(Q32,U32,W32,X32,Z32,AA32,AC32)</f>
        <v>임금 총액의 8.3%  0</v>
      </c>
      <c r="AJ32" s="299"/>
      <c r="AK32" s="299"/>
      <c r="AL32" s="299"/>
      <c r="AM32" s="299"/>
      <c r="AN32" s="299"/>
      <c r="AO32" s="299"/>
      <c r="AP32" s="299"/>
      <c r="AQ32" s="299"/>
      <c r="AR32" s="299"/>
      <c r="AS32" s="299"/>
      <c r="AT32" s="299"/>
    </row>
    <row r="33" spans="1:49" s="10" customFormat="1" ht="17.100000000000001" customHeight="1" x14ac:dyDescent="0.3">
      <c r="A33" s="11"/>
      <c r="B33" s="12"/>
      <c r="C33" s="294" t="s">
        <v>278</v>
      </c>
      <c r="D33" s="295"/>
      <c r="E33" s="295"/>
      <c r="F33" s="295"/>
      <c r="G33" s="295"/>
      <c r="H33" s="295"/>
      <c r="I33" s="295"/>
      <c r="J33" s="296"/>
      <c r="K33" s="294"/>
      <c r="L33" s="295"/>
      <c r="M33" s="295"/>
      <c r="N33" s="295"/>
      <c r="O33" s="295"/>
      <c r="P33" s="296"/>
      <c r="Q33" s="295"/>
      <c r="R33" s="295"/>
      <c r="S33" s="295"/>
      <c r="T33" s="295"/>
      <c r="U33" s="295"/>
      <c r="V33" s="295"/>
      <c r="W33" s="13"/>
      <c r="X33" s="295"/>
      <c r="Y33" s="295"/>
      <c r="Z33" s="13"/>
      <c r="AA33" s="295"/>
      <c r="AB33" s="295"/>
      <c r="AC33" s="309">
        <f>AC34+AC39</f>
        <v>3235950</v>
      </c>
      <c r="AD33" s="310"/>
      <c r="AE33" s="310"/>
      <c r="AF33" s="310"/>
      <c r="AG33" s="310"/>
      <c r="AH33" s="311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299"/>
      <c r="AT33" s="299"/>
    </row>
    <row r="34" spans="1:49" s="10" customFormat="1" ht="17.100000000000001" customHeight="1" x14ac:dyDescent="0.3">
      <c r="A34" s="11"/>
      <c r="B34" s="12"/>
      <c r="C34" s="11"/>
      <c r="D34" s="414" t="s">
        <v>2</v>
      </c>
      <c r="E34" s="414"/>
      <c r="F34" s="414"/>
      <c r="G34" s="414"/>
      <c r="H34" s="414"/>
      <c r="I34" s="414"/>
      <c r="J34" s="93"/>
      <c r="K34" s="408" t="s">
        <v>344</v>
      </c>
      <c r="L34" s="409"/>
      <c r="M34" s="409"/>
      <c r="N34" s="409"/>
      <c r="O34" s="409"/>
      <c r="P34" s="410"/>
      <c r="Q34" s="412"/>
      <c r="R34" s="412"/>
      <c r="S34" s="412"/>
      <c r="T34" s="412"/>
      <c r="U34" s="409"/>
      <c r="V34" s="409"/>
      <c r="W34" s="33"/>
      <c r="X34" s="409"/>
      <c r="Y34" s="409"/>
      <c r="Z34" s="33"/>
      <c r="AA34" s="409"/>
      <c r="AB34" s="409"/>
      <c r="AC34" s="411">
        <f>SUM(AC35:AH38)</f>
        <v>2708100</v>
      </c>
      <c r="AD34" s="412"/>
      <c r="AE34" s="412"/>
      <c r="AF34" s="412"/>
      <c r="AG34" s="412"/>
      <c r="AH34" s="413"/>
      <c r="AI34" s="299"/>
      <c r="AJ34" s="299"/>
      <c r="AK34" s="299"/>
      <c r="AL34" s="299"/>
      <c r="AM34" s="299"/>
      <c r="AN34" s="299"/>
      <c r="AO34" s="299"/>
      <c r="AP34" s="299"/>
      <c r="AQ34" s="299"/>
      <c r="AR34" s="299"/>
      <c r="AS34" s="299"/>
      <c r="AT34" s="299"/>
    </row>
    <row r="35" spans="1:49" s="10" customFormat="1" ht="17.100000000000001" customHeight="1" x14ac:dyDescent="0.3">
      <c r="A35" s="11"/>
      <c r="B35" s="12"/>
      <c r="C35" s="11"/>
      <c r="D35" s="414"/>
      <c r="E35" s="414"/>
      <c r="F35" s="414"/>
      <c r="G35" s="414"/>
      <c r="H35" s="414"/>
      <c r="I35" s="414"/>
      <c r="J35" s="93"/>
      <c r="K35" s="285" t="s">
        <v>337</v>
      </c>
      <c r="L35" s="263"/>
      <c r="M35" s="263"/>
      <c r="N35" s="263"/>
      <c r="O35" s="263"/>
      <c r="P35" s="286"/>
      <c r="Q35" s="306" t="s">
        <v>8</v>
      </c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307"/>
      <c r="AC35" s="306">
        <f>ROUNDUP(($AC$10*4.5%),-1)</f>
        <v>1194750</v>
      </c>
      <c r="AD35" s="298"/>
      <c r="AE35" s="298"/>
      <c r="AF35" s="298"/>
      <c r="AG35" s="298"/>
      <c r="AH35" s="307"/>
      <c r="AI35" s="428" t="str">
        <f>CONCATENATE(K35,Q35,U35,W35,X35,Z35,AA35,AC35)</f>
        <v>국민연금(직접비)  임금 총액의 4.5% =1194750</v>
      </c>
      <c r="AJ35" s="299"/>
      <c r="AK35" s="299"/>
      <c r="AL35" s="299"/>
      <c r="AM35" s="299"/>
      <c r="AN35" s="299"/>
      <c r="AO35" s="299"/>
      <c r="AP35" s="299"/>
      <c r="AQ35" s="299"/>
      <c r="AR35" s="299"/>
      <c r="AS35" s="299"/>
      <c r="AT35" s="299"/>
    </row>
    <row r="36" spans="1:49" s="10" customFormat="1" ht="17.100000000000001" customHeight="1" x14ac:dyDescent="0.3">
      <c r="A36" s="11"/>
      <c r="B36" s="12"/>
      <c r="C36" s="11"/>
      <c r="D36" s="414"/>
      <c r="E36" s="414"/>
      <c r="F36" s="414"/>
      <c r="G36" s="414"/>
      <c r="H36" s="414"/>
      <c r="I36" s="414"/>
      <c r="J36" s="93"/>
      <c r="K36" s="285" t="s">
        <v>345</v>
      </c>
      <c r="L36" s="263"/>
      <c r="M36" s="263"/>
      <c r="N36" s="263"/>
      <c r="O36" s="263"/>
      <c r="P36" s="286"/>
      <c r="Q36" s="306" t="s">
        <v>475</v>
      </c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307"/>
      <c r="AC36" s="306">
        <f>ROUNDUP(($AC$10*4%),-1)</f>
        <v>1062000</v>
      </c>
      <c r="AD36" s="298"/>
      <c r="AE36" s="298"/>
      <c r="AF36" s="298"/>
      <c r="AG36" s="298"/>
      <c r="AH36" s="307"/>
      <c r="AI36" s="428" t="str">
        <f>CONCATENATE(K36,Q36,U36,W36,X36,Z36,AA36,AC36)</f>
        <v>건강보험(직접비)  임금 총액의 4% (요양보험 포함) =1062000</v>
      </c>
      <c r="AJ36" s="299"/>
      <c r="AK36" s="299"/>
      <c r="AL36" s="299"/>
      <c r="AM36" s="299"/>
      <c r="AN36" s="299"/>
      <c r="AO36" s="299"/>
      <c r="AP36" s="299"/>
      <c r="AQ36" s="299"/>
      <c r="AR36" s="299"/>
      <c r="AS36" s="299"/>
      <c r="AT36" s="299"/>
    </row>
    <row r="37" spans="1:49" s="10" customFormat="1" ht="17.100000000000001" customHeight="1" x14ac:dyDescent="0.3">
      <c r="A37" s="11"/>
      <c r="B37" s="12"/>
      <c r="C37" s="11"/>
      <c r="D37" s="414"/>
      <c r="E37" s="414"/>
      <c r="F37" s="414"/>
      <c r="G37" s="414"/>
      <c r="H37" s="414"/>
      <c r="I37" s="414"/>
      <c r="J37" s="93"/>
      <c r="K37" s="285" t="s">
        <v>359</v>
      </c>
      <c r="L37" s="263"/>
      <c r="M37" s="263"/>
      <c r="N37" s="263"/>
      <c r="O37" s="263"/>
      <c r="P37" s="286"/>
      <c r="Q37" s="306" t="s">
        <v>37</v>
      </c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307"/>
      <c r="AC37" s="306">
        <f>ROUNDUP(($AC$10*0.9%),-1)</f>
        <v>238950</v>
      </c>
      <c r="AD37" s="298"/>
      <c r="AE37" s="298"/>
      <c r="AF37" s="298"/>
      <c r="AG37" s="298"/>
      <c r="AH37" s="307"/>
      <c r="AI37" s="428" t="str">
        <f>CONCATENATE(K37,Q37,U37,W37,X37,Z37,AA37,AC37)</f>
        <v>고용보험(직접비)  임금 총액의 0.9% =238950</v>
      </c>
      <c r="AJ37" s="299"/>
      <c r="AK37" s="299"/>
      <c r="AL37" s="299"/>
      <c r="AM37" s="299"/>
      <c r="AN37" s="299"/>
      <c r="AO37" s="299"/>
      <c r="AP37" s="299"/>
      <c r="AQ37" s="299"/>
      <c r="AR37" s="299"/>
      <c r="AS37" s="299"/>
      <c r="AT37" s="299"/>
    </row>
    <row r="38" spans="1:49" s="10" customFormat="1" ht="17.100000000000001" customHeight="1" x14ac:dyDescent="0.3">
      <c r="A38" s="11"/>
      <c r="B38" s="12"/>
      <c r="C38" s="11"/>
      <c r="D38" s="89"/>
      <c r="E38" s="89"/>
      <c r="F38" s="89"/>
      <c r="G38" s="89"/>
      <c r="H38" s="89"/>
      <c r="I38" s="89"/>
      <c r="J38" s="93"/>
      <c r="K38" s="285" t="s">
        <v>346</v>
      </c>
      <c r="L38" s="263"/>
      <c r="M38" s="263"/>
      <c r="N38" s="263"/>
      <c r="O38" s="263"/>
      <c r="P38" s="286"/>
      <c r="Q38" s="306" t="s">
        <v>10</v>
      </c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307"/>
      <c r="AC38" s="306">
        <f>ROUNDUP(($AC$10*0.8%),-1)</f>
        <v>212400</v>
      </c>
      <c r="AD38" s="298"/>
      <c r="AE38" s="298"/>
      <c r="AF38" s="298"/>
      <c r="AG38" s="298"/>
      <c r="AH38" s="307"/>
      <c r="AI38" s="428" t="str">
        <f>CONCATENATE(K38,Q38,U38,W38,X38,Z38,AA38,AC38)</f>
        <v>산재보험(직접비)  임금 총액의 0.8% =212400</v>
      </c>
      <c r="AJ38" s="299"/>
      <c r="AK38" s="299"/>
      <c r="AL38" s="299"/>
      <c r="AM38" s="299"/>
      <c r="AN38" s="299"/>
      <c r="AO38" s="299"/>
      <c r="AP38" s="299"/>
      <c r="AQ38" s="299"/>
      <c r="AR38" s="299"/>
      <c r="AS38" s="299"/>
      <c r="AT38" s="299"/>
    </row>
    <row r="39" spans="1:49" s="10" customFormat="1" ht="17.100000000000001" customHeight="1" x14ac:dyDescent="0.3">
      <c r="A39" s="11"/>
      <c r="B39" s="12"/>
      <c r="C39" s="11"/>
      <c r="D39" s="89"/>
      <c r="E39" s="89"/>
      <c r="F39" s="89"/>
      <c r="G39" s="89"/>
      <c r="H39" s="89"/>
      <c r="I39" s="89"/>
      <c r="J39" s="93"/>
      <c r="K39" s="402" t="s">
        <v>348</v>
      </c>
      <c r="L39" s="403"/>
      <c r="M39" s="403"/>
      <c r="N39" s="403"/>
      <c r="O39" s="403"/>
      <c r="P39" s="404"/>
      <c r="Q39" s="406"/>
      <c r="R39" s="406"/>
      <c r="S39" s="406"/>
      <c r="T39" s="406"/>
      <c r="U39" s="403"/>
      <c r="V39" s="403"/>
      <c r="W39" s="88"/>
      <c r="X39" s="403"/>
      <c r="Y39" s="403"/>
      <c r="Z39" s="88"/>
      <c r="AA39" s="403"/>
      <c r="AB39" s="403"/>
      <c r="AC39" s="405">
        <f>SUM(AC40:AH43)</f>
        <v>527850</v>
      </c>
      <c r="AD39" s="406"/>
      <c r="AE39" s="406"/>
      <c r="AF39" s="406"/>
      <c r="AG39" s="406"/>
      <c r="AH39" s="407"/>
      <c r="AI39" s="299"/>
      <c r="AJ39" s="299"/>
      <c r="AK39" s="299"/>
      <c r="AL39" s="299"/>
      <c r="AM39" s="299"/>
      <c r="AN39" s="299"/>
      <c r="AO39" s="299"/>
      <c r="AP39" s="299"/>
      <c r="AQ39" s="299"/>
      <c r="AR39" s="299"/>
      <c r="AS39" s="299"/>
      <c r="AT39" s="299"/>
    </row>
    <row r="40" spans="1:49" s="10" customFormat="1" ht="17.100000000000001" customHeight="1" x14ac:dyDescent="0.3">
      <c r="A40" s="11"/>
      <c r="B40" s="12"/>
      <c r="C40" s="11"/>
      <c r="D40" s="89"/>
      <c r="E40" s="89"/>
      <c r="F40" s="89"/>
      <c r="G40" s="89"/>
      <c r="H40" s="89"/>
      <c r="I40" s="89"/>
      <c r="J40" s="93"/>
      <c r="K40" s="285" t="s">
        <v>352</v>
      </c>
      <c r="L40" s="263"/>
      <c r="M40" s="263"/>
      <c r="N40" s="263"/>
      <c r="O40" s="263"/>
      <c r="P40" s="286"/>
      <c r="Q40" s="306" t="s">
        <v>8</v>
      </c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307"/>
      <c r="AC40" s="306">
        <f>ROUNDUP($AC$17*4.5%,-1)</f>
        <v>279450</v>
      </c>
      <c r="AD40" s="298"/>
      <c r="AE40" s="298"/>
      <c r="AF40" s="298"/>
      <c r="AG40" s="298"/>
      <c r="AH40" s="307"/>
      <c r="AI40" s="428" t="str">
        <f>CONCATENATE(K40,Q40,U40,W40,X40,Z40,AA40,AC40)</f>
        <v>국민연금(간접비)  임금 총액의 4.5% =279450</v>
      </c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</row>
    <row r="41" spans="1:49" s="10" customFormat="1" ht="17.100000000000001" customHeight="1" x14ac:dyDescent="0.3">
      <c r="A41" s="11"/>
      <c r="B41" s="12"/>
      <c r="C41" s="11"/>
      <c r="D41" s="15"/>
      <c r="E41" s="15"/>
      <c r="F41" s="15"/>
      <c r="G41" s="15"/>
      <c r="H41" s="15"/>
      <c r="I41" s="15"/>
      <c r="J41" s="16"/>
      <c r="K41" s="285" t="s">
        <v>356</v>
      </c>
      <c r="L41" s="263"/>
      <c r="M41" s="263"/>
      <c r="N41" s="263"/>
      <c r="O41" s="263"/>
      <c r="P41" s="286"/>
      <c r="Q41" s="306" t="s">
        <v>475</v>
      </c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307"/>
      <c r="AC41" s="306">
        <f>ROUNDUP($AC$17*4%,-1)</f>
        <v>248400</v>
      </c>
      <c r="AD41" s="298"/>
      <c r="AE41" s="298"/>
      <c r="AF41" s="298"/>
      <c r="AG41" s="298"/>
      <c r="AH41" s="307"/>
      <c r="AI41" s="428" t="str">
        <f>CONCATENATE(K41,Q41,U41,W41,X41,Z41,AA41,AC41)</f>
        <v>건강보험(간접비)  임금 총액의 4% (요양보험 포함) =248400</v>
      </c>
      <c r="AJ41" s="299"/>
      <c r="AK41" s="299"/>
      <c r="AL41" s="299"/>
      <c r="AM41" s="299"/>
      <c r="AN41" s="299"/>
      <c r="AO41" s="299"/>
      <c r="AP41" s="299"/>
      <c r="AQ41" s="299"/>
      <c r="AR41" s="299"/>
      <c r="AS41" s="299"/>
      <c r="AT41" s="299"/>
    </row>
    <row r="42" spans="1:49" s="10" customFormat="1" ht="17.100000000000001" customHeight="1" x14ac:dyDescent="0.3">
      <c r="A42" s="11"/>
      <c r="B42" s="12"/>
      <c r="C42" s="11"/>
      <c r="D42" s="15"/>
      <c r="E42" s="15"/>
      <c r="F42" s="15"/>
      <c r="G42" s="15"/>
      <c r="H42" s="15"/>
      <c r="I42" s="15"/>
      <c r="J42" s="16"/>
      <c r="K42" s="285" t="s">
        <v>339</v>
      </c>
      <c r="L42" s="263"/>
      <c r="M42" s="263"/>
      <c r="N42" s="263"/>
      <c r="O42" s="263"/>
      <c r="P42" s="286"/>
      <c r="Q42" s="306" t="s">
        <v>37</v>
      </c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307"/>
      <c r="AC42" s="306">
        <f>ROUNDUP(($AC$17-$AC$18)*0.9%,-1)</f>
        <v>0</v>
      </c>
      <c r="AD42" s="298"/>
      <c r="AE42" s="298"/>
      <c r="AF42" s="298"/>
      <c r="AG42" s="298"/>
      <c r="AH42" s="307"/>
      <c r="AI42" s="428" t="str">
        <f>CONCATENATE(K42,Q42,U42,W42,X42,Z42,AA42,AC42)</f>
        <v>고용보험(간접비)  임금 총액의 0.9% =0</v>
      </c>
      <c r="AJ42" s="299"/>
      <c r="AK42" s="299"/>
      <c r="AL42" s="299"/>
      <c r="AM42" s="299"/>
      <c r="AN42" s="299"/>
      <c r="AO42" s="299"/>
      <c r="AP42" s="299"/>
      <c r="AQ42" s="299"/>
      <c r="AR42" s="299"/>
      <c r="AS42" s="299"/>
      <c r="AT42" s="299"/>
    </row>
    <row r="43" spans="1:49" s="10" customFormat="1" ht="17.100000000000001" customHeight="1" x14ac:dyDescent="0.3">
      <c r="A43" s="11"/>
      <c r="B43" s="12"/>
      <c r="C43" s="18"/>
      <c r="D43" s="19"/>
      <c r="E43" s="19"/>
      <c r="F43" s="19"/>
      <c r="G43" s="19"/>
      <c r="H43" s="19"/>
      <c r="I43" s="19"/>
      <c r="J43" s="20"/>
      <c r="K43" s="285" t="s">
        <v>357</v>
      </c>
      <c r="L43" s="263"/>
      <c r="M43" s="263"/>
      <c r="N43" s="263"/>
      <c r="O43" s="263"/>
      <c r="P43" s="286"/>
      <c r="Q43" s="306" t="s">
        <v>10</v>
      </c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307"/>
      <c r="AC43" s="306">
        <f>ROUNDUP(($AC$17-$AC$18)*0.8%,-1)</f>
        <v>0</v>
      </c>
      <c r="AD43" s="298"/>
      <c r="AE43" s="298"/>
      <c r="AF43" s="298"/>
      <c r="AG43" s="298"/>
      <c r="AH43" s="307"/>
      <c r="AI43" s="428" t="str">
        <f>CONCATENATE(K43,Q43,U43,W43,X43,Z43,AA43,AC43)</f>
        <v>산재보험(간접비)  임금 총액의 0.8% =0</v>
      </c>
      <c r="AJ43" s="299"/>
      <c r="AK43" s="299"/>
      <c r="AL43" s="299"/>
      <c r="AM43" s="299"/>
      <c r="AN43" s="299"/>
      <c r="AO43" s="299"/>
      <c r="AP43" s="299"/>
      <c r="AQ43" s="299"/>
      <c r="AR43" s="299"/>
      <c r="AS43" s="299"/>
      <c r="AT43" s="299"/>
    </row>
    <row r="44" spans="1:49" s="10" customFormat="1" ht="17.100000000000001" customHeight="1" x14ac:dyDescent="0.3">
      <c r="A44" s="11"/>
      <c r="B44" s="353" t="s">
        <v>280</v>
      </c>
      <c r="C44" s="354"/>
      <c r="D44" s="354"/>
      <c r="E44" s="354"/>
      <c r="F44" s="354"/>
      <c r="G44" s="354"/>
      <c r="H44" s="354"/>
      <c r="I44" s="354"/>
      <c r="J44" s="355"/>
      <c r="K44" s="26"/>
      <c r="L44" s="27"/>
      <c r="M44" s="27"/>
      <c r="N44" s="27"/>
      <c r="O44" s="27"/>
      <c r="P44" s="28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361">
        <f>AC45+AC49+AC50</f>
        <v>900000</v>
      </c>
      <c r="AD44" s="362"/>
      <c r="AE44" s="362"/>
      <c r="AF44" s="362"/>
      <c r="AG44" s="362"/>
      <c r="AH44" s="363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</row>
    <row r="45" spans="1:49" s="10" customFormat="1" ht="17.100000000000001" customHeight="1" x14ac:dyDescent="0.3">
      <c r="A45" s="11"/>
      <c r="B45" s="12"/>
      <c r="C45" s="294" t="s">
        <v>271</v>
      </c>
      <c r="D45" s="295"/>
      <c r="E45" s="295"/>
      <c r="F45" s="295"/>
      <c r="G45" s="295"/>
      <c r="H45" s="295"/>
      <c r="I45" s="295"/>
      <c r="J45" s="296"/>
      <c r="K45" s="384" t="s">
        <v>341</v>
      </c>
      <c r="L45" s="385"/>
      <c r="M45" s="385"/>
      <c r="N45" s="385"/>
      <c r="O45" s="385"/>
      <c r="P45" s="386"/>
      <c r="Q45" s="372"/>
      <c r="R45" s="373"/>
      <c r="S45" s="373"/>
      <c r="T45" s="373"/>
      <c r="U45" s="385"/>
      <c r="V45" s="385"/>
      <c r="W45" s="94"/>
      <c r="X45" s="385"/>
      <c r="Y45" s="385"/>
      <c r="Z45" s="94"/>
      <c r="AA45" s="385"/>
      <c r="AB45" s="386"/>
      <c r="AC45" s="372">
        <f>AC46+AC47+AC48</f>
        <v>750000</v>
      </c>
      <c r="AD45" s="373"/>
      <c r="AE45" s="373"/>
      <c r="AF45" s="373"/>
      <c r="AG45" s="373"/>
      <c r="AH45" s="374"/>
      <c r="AI45" s="299" t="str">
        <f t="shared" ref="AI45:AI48" si="7">CONCATENATE(K45,Q45,U45,W45,X45,Z45,AA45,AC45)</f>
        <v>기관운영비 소계750000</v>
      </c>
      <c r="AJ45" s="299"/>
      <c r="AK45" s="299"/>
      <c r="AL45" s="299"/>
      <c r="AM45" s="299"/>
      <c r="AN45" s="299"/>
      <c r="AO45" s="299"/>
      <c r="AP45" s="299"/>
      <c r="AQ45" s="299"/>
      <c r="AR45" s="299"/>
      <c r="AS45" s="299"/>
      <c r="AT45" s="299"/>
    </row>
    <row r="46" spans="1:49" s="10" customFormat="1" ht="17.100000000000001" customHeight="1" x14ac:dyDescent="0.3">
      <c r="A46" s="11"/>
      <c r="B46" s="12"/>
      <c r="C46" s="11"/>
      <c r="D46" s="15"/>
      <c r="E46" s="15"/>
      <c r="F46" s="15"/>
      <c r="G46" s="15"/>
      <c r="H46" s="15"/>
      <c r="I46" s="15"/>
      <c r="J46" s="16"/>
      <c r="K46" s="285" t="s">
        <v>192</v>
      </c>
      <c r="L46" s="263"/>
      <c r="M46" s="263"/>
      <c r="N46" s="263"/>
      <c r="O46" s="263"/>
      <c r="P46" s="286"/>
      <c r="Q46" s="298">
        <v>100000</v>
      </c>
      <c r="R46" s="298"/>
      <c r="S46" s="298"/>
      <c r="T46" s="298"/>
      <c r="U46" s="263" t="s">
        <v>379</v>
      </c>
      <c r="V46" s="263"/>
      <c r="W46" s="17">
        <v>3</v>
      </c>
      <c r="X46" s="263" t="s">
        <v>418</v>
      </c>
      <c r="Y46" s="263"/>
      <c r="Z46" s="17"/>
      <c r="AA46" s="263"/>
      <c r="AB46" s="263"/>
      <c r="AC46" s="306">
        <f>Q46*W46</f>
        <v>300000</v>
      </c>
      <c r="AD46" s="387"/>
      <c r="AE46" s="387"/>
      <c r="AF46" s="387"/>
      <c r="AG46" s="387"/>
      <c r="AH46" s="307"/>
      <c r="AI46" s="299" t="str">
        <f t="shared" si="7"/>
        <v>경조사비100000원×3월 =300000</v>
      </c>
      <c r="AJ46" s="299"/>
      <c r="AK46" s="299"/>
      <c r="AL46" s="299"/>
      <c r="AM46" s="299"/>
      <c r="AN46" s="299"/>
      <c r="AO46" s="299"/>
      <c r="AP46" s="299"/>
      <c r="AQ46" s="299"/>
      <c r="AR46" s="299"/>
      <c r="AS46" s="299"/>
      <c r="AT46" s="299"/>
      <c r="AU46" s="14"/>
      <c r="AV46" s="14"/>
      <c r="AW46" s="14"/>
    </row>
    <row r="47" spans="1:49" s="10" customFormat="1" ht="17.100000000000001" customHeight="1" x14ac:dyDescent="0.3">
      <c r="A47" s="11"/>
      <c r="B47" s="12"/>
      <c r="C47" s="11"/>
      <c r="D47" s="15"/>
      <c r="E47" s="15"/>
      <c r="F47" s="15"/>
      <c r="G47" s="15"/>
      <c r="H47" s="15"/>
      <c r="I47" s="15"/>
      <c r="J47" s="16"/>
      <c r="K47" s="285" t="s">
        <v>323</v>
      </c>
      <c r="L47" s="263"/>
      <c r="M47" s="263"/>
      <c r="N47" s="263"/>
      <c r="O47" s="263"/>
      <c r="P47" s="286"/>
      <c r="Q47" s="298">
        <v>100000</v>
      </c>
      <c r="R47" s="298"/>
      <c r="S47" s="298"/>
      <c r="T47" s="298"/>
      <c r="U47" s="263" t="s">
        <v>379</v>
      </c>
      <c r="V47" s="263"/>
      <c r="W47" s="17">
        <v>3</v>
      </c>
      <c r="X47" s="263" t="s">
        <v>418</v>
      </c>
      <c r="Y47" s="263"/>
      <c r="Z47" s="17"/>
      <c r="AA47" s="263"/>
      <c r="AB47" s="263"/>
      <c r="AC47" s="306">
        <f>Q47*W47</f>
        <v>300000</v>
      </c>
      <c r="AD47" s="387"/>
      <c r="AE47" s="387"/>
      <c r="AF47" s="387"/>
      <c r="AG47" s="387"/>
      <c r="AH47" s="307"/>
      <c r="AI47" s="299" t="str">
        <f t="shared" si="7"/>
        <v>이용자,직원 선물 100000원×3월 =300000</v>
      </c>
      <c r="AJ47" s="299"/>
      <c r="AK47" s="299"/>
      <c r="AL47" s="299"/>
      <c r="AM47" s="299"/>
      <c r="AN47" s="299"/>
      <c r="AO47" s="299"/>
      <c r="AP47" s="299"/>
      <c r="AQ47" s="299"/>
      <c r="AR47" s="299"/>
      <c r="AS47" s="299"/>
      <c r="AT47" s="299"/>
      <c r="AU47" s="14"/>
      <c r="AV47" s="14"/>
      <c r="AW47" s="14"/>
    </row>
    <row r="48" spans="1:49" s="10" customFormat="1" ht="17.100000000000001" customHeight="1" x14ac:dyDescent="0.3">
      <c r="A48" s="11"/>
      <c r="B48" s="12"/>
      <c r="C48" s="18"/>
      <c r="D48" s="19"/>
      <c r="E48" s="19"/>
      <c r="F48" s="19"/>
      <c r="G48" s="19"/>
      <c r="H48" s="19"/>
      <c r="I48" s="19"/>
      <c r="J48" s="20"/>
      <c r="K48" s="282" t="s">
        <v>350</v>
      </c>
      <c r="L48" s="283"/>
      <c r="M48" s="283"/>
      <c r="N48" s="283"/>
      <c r="O48" s="283"/>
      <c r="P48" s="284"/>
      <c r="Q48" s="297">
        <v>50000</v>
      </c>
      <c r="R48" s="297"/>
      <c r="S48" s="297"/>
      <c r="T48" s="297"/>
      <c r="U48" s="283" t="s">
        <v>379</v>
      </c>
      <c r="V48" s="283"/>
      <c r="W48" s="37">
        <v>3</v>
      </c>
      <c r="X48" s="283" t="s">
        <v>418</v>
      </c>
      <c r="Y48" s="283"/>
      <c r="Z48" s="37"/>
      <c r="AA48" s="283"/>
      <c r="AB48" s="283"/>
      <c r="AC48" s="304">
        <f>Q48*W48</f>
        <v>150000</v>
      </c>
      <c r="AD48" s="297"/>
      <c r="AE48" s="297"/>
      <c r="AF48" s="297"/>
      <c r="AG48" s="297"/>
      <c r="AH48" s="305"/>
      <c r="AI48" s="299" t="str">
        <f t="shared" si="7"/>
        <v>대외 방문 상담 경비50000원×3월 =150000</v>
      </c>
      <c r="AJ48" s="299"/>
      <c r="AK48" s="299"/>
      <c r="AL48" s="299"/>
      <c r="AM48" s="299"/>
      <c r="AN48" s="299"/>
      <c r="AO48" s="299"/>
      <c r="AP48" s="299"/>
      <c r="AQ48" s="299"/>
      <c r="AR48" s="299"/>
      <c r="AS48" s="299"/>
      <c r="AT48" s="299"/>
      <c r="AU48" s="14"/>
      <c r="AV48" s="14"/>
      <c r="AW48" s="14"/>
    </row>
    <row r="49" spans="1:49" s="10" customFormat="1" ht="17.100000000000001" hidden="1" customHeight="1" x14ac:dyDescent="0.3">
      <c r="A49" s="11"/>
      <c r="B49" s="12"/>
      <c r="C49" s="285" t="s">
        <v>277</v>
      </c>
      <c r="D49" s="263"/>
      <c r="E49" s="263"/>
      <c r="F49" s="263"/>
      <c r="G49" s="263"/>
      <c r="H49" s="263"/>
      <c r="I49" s="263"/>
      <c r="J49" s="286"/>
      <c r="K49" s="285" t="s">
        <v>154</v>
      </c>
      <c r="L49" s="263"/>
      <c r="M49" s="263"/>
      <c r="N49" s="263"/>
      <c r="O49" s="263"/>
      <c r="P49" s="286"/>
      <c r="Q49" s="275">
        <v>0</v>
      </c>
      <c r="R49" s="276"/>
      <c r="S49" s="276"/>
      <c r="T49" s="276"/>
      <c r="U49" s="273" t="s">
        <v>379</v>
      </c>
      <c r="V49" s="273"/>
      <c r="W49" s="22">
        <f>예산서사전준비!$D$3</f>
        <v>6</v>
      </c>
      <c r="X49" s="273" t="s">
        <v>418</v>
      </c>
      <c r="Y49" s="273"/>
      <c r="Z49" s="22"/>
      <c r="AA49" s="273"/>
      <c r="AB49" s="273"/>
      <c r="AC49" s="275">
        <f>ROUNDUP(Q49*W49,-1)</f>
        <v>0</v>
      </c>
      <c r="AD49" s="276"/>
      <c r="AE49" s="276"/>
      <c r="AF49" s="276"/>
      <c r="AG49" s="276"/>
      <c r="AH49" s="301"/>
      <c r="AI49" s="299" t="str">
        <f t="shared" ref="AI49:AI50" si="8">CONCATENATE(K49,Q49,U49,W49,X49,Z49,AA49,AC49)</f>
        <v>시설장 외  0원×6월 =0</v>
      </c>
      <c r="AJ49" s="299"/>
      <c r="AK49" s="299"/>
      <c r="AL49" s="299"/>
      <c r="AM49" s="299"/>
      <c r="AN49" s="299"/>
      <c r="AO49" s="299"/>
      <c r="AP49" s="299"/>
      <c r="AQ49" s="299"/>
      <c r="AR49" s="299"/>
      <c r="AS49" s="299"/>
      <c r="AT49" s="299"/>
      <c r="AU49" s="14"/>
      <c r="AV49" s="14"/>
      <c r="AW49" s="14"/>
    </row>
    <row r="50" spans="1:49" s="10" customFormat="1" ht="17.100000000000001" customHeight="1" x14ac:dyDescent="0.3">
      <c r="A50" s="11"/>
      <c r="B50" s="12"/>
      <c r="C50" s="272" t="s">
        <v>178</v>
      </c>
      <c r="D50" s="273"/>
      <c r="E50" s="273"/>
      <c r="F50" s="273"/>
      <c r="G50" s="273"/>
      <c r="H50" s="273"/>
      <c r="I50" s="273"/>
      <c r="J50" s="274"/>
      <c r="K50" s="272" t="s">
        <v>140</v>
      </c>
      <c r="L50" s="273"/>
      <c r="M50" s="273"/>
      <c r="N50" s="273"/>
      <c r="O50" s="273"/>
      <c r="P50" s="274"/>
      <c r="Q50" s="275">
        <v>50000</v>
      </c>
      <c r="R50" s="276"/>
      <c r="S50" s="276"/>
      <c r="T50" s="276"/>
      <c r="U50" s="263" t="s">
        <v>379</v>
      </c>
      <c r="V50" s="263"/>
      <c r="W50" s="17">
        <v>3</v>
      </c>
      <c r="X50" s="263" t="s">
        <v>418</v>
      </c>
      <c r="Y50" s="263"/>
      <c r="Z50" s="17"/>
      <c r="AA50" s="263"/>
      <c r="AB50" s="263"/>
      <c r="AC50" s="306">
        <f>ROUNDUP(Q50*W50,-1)</f>
        <v>150000</v>
      </c>
      <c r="AD50" s="298"/>
      <c r="AE50" s="298"/>
      <c r="AF50" s="298"/>
      <c r="AG50" s="298"/>
      <c r="AH50" s="307"/>
      <c r="AI50" s="299" t="str">
        <f t="shared" si="8"/>
        <v>회의비  50000원×3월 =150000</v>
      </c>
      <c r="AJ50" s="299"/>
      <c r="AK50" s="299"/>
      <c r="AL50" s="299"/>
      <c r="AM50" s="299"/>
      <c r="AN50" s="299"/>
      <c r="AO50" s="299"/>
      <c r="AP50" s="299"/>
      <c r="AQ50" s="299"/>
      <c r="AR50" s="299"/>
      <c r="AS50" s="299"/>
      <c r="AT50" s="299"/>
      <c r="AU50" s="14"/>
      <c r="AV50" s="14"/>
      <c r="AW50" s="14"/>
    </row>
    <row r="51" spans="1:49" s="10" customFormat="1" ht="17.100000000000001" customHeight="1" x14ac:dyDescent="0.3">
      <c r="A51" s="11"/>
      <c r="B51" s="353" t="s">
        <v>118</v>
      </c>
      <c r="C51" s="354"/>
      <c r="D51" s="354"/>
      <c r="E51" s="354"/>
      <c r="F51" s="354"/>
      <c r="G51" s="354"/>
      <c r="H51" s="354"/>
      <c r="I51" s="354"/>
      <c r="J51" s="355"/>
      <c r="K51" s="26"/>
      <c r="L51" s="27"/>
      <c r="M51" s="27"/>
      <c r="N51" s="27"/>
      <c r="O51" s="27"/>
      <c r="P51" s="28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361">
        <v>4050000</v>
      </c>
      <c r="AD51" s="362"/>
      <c r="AE51" s="362"/>
      <c r="AF51" s="362"/>
      <c r="AG51" s="362"/>
      <c r="AH51" s="363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</row>
    <row r="52" spans="1:49" s="10" customFormat="1" ht="17.100000000000001" hidden="1" customHeight="1" x14ac:dyDescent="0.3">
      <c r="A52" s="11"/>
      <c r="B52" s="12"/>
      <c r="C52" s="272" t="s">
        <v>144</v>
      </c>
      <c r="D52" s="273"/>
      <c r="E52" s="273"/>
      <c r="F52" s="273"/>
      <c r="G52" s="273"/>
      <c r="H52" s="273"/>
      <c r="I52" s="273"/>
      <c r="J52" s="274"/>
      <c r="K52" s="272"/>
      <c r="L52" s="273"/>
      <c r="M52" s="273"/>
      <c r="N52" s="273"/>
      <c r="O52" s="273"/>
      <c r="P52" s="274"/>
      <c r="Q52" s="275">
        <f>AC52/W52</f>
        <v>0</v>
      </c>
      <c r="R52" s="276"/>
      <c r="S52" s="276"/>
      <c r="T52" s="276"/>
      <c r="U52" s="273" t="s">
        <v>379</v>
      </c>
      <c r="V52" s="273"/>
      <c r="W52" s="22">
        <f>예산서사전준비!$D$3</f>
        <v>6</v>
      </c>
      <c r="X52" s="273" t="s">
        <v>418</v>
      </c>
      <c r="Y52" s="273"/>
      <c r="Z52" s="22"/>
      <c r="AA52" s="273"/>
      <c r="AB52" s="274"/>
      <c r="AC52" s="275">
        <f>예산Balnace!$M$32</f>
        <v>0</v>
      </c>
      <c r="AD52" s="276"/>
      <c r="AE52" s="276"/>
      <c r="AF52" s="276"/>
      <c r="AG52" s="276"/>
      <c r="AH52" s="301"/>
      <c r="AI52" s="299" t="str">
        <f t="shared" ref="AI52:AI57" si="9">CONCATENATE(K52,Q52,U52,W52,X52,Z52,AA52,AC52)</f>
        <v>0원×6월 =0</v>
      </c>
      <c r="AJ52" s="299"/>
      <c r="AK52" s="299"/>
      <c r="AL52" s="299"/>
      <c r="AM52" s="299"/>
      <c r="AN52" s="299"/>
      <c r="AO52" s="299"/>
      <c r="AP52" s="299"/>
      <c r="AQ52" s="299"/>
      <c r="AR52" s="299"/>
      <c r="AS52" s="299"/>
      <c r="AT52" s="299"/>
    </row>
    <row r="53" spans="1:49" s="10" customFormat="1" ht="17.100000000000001" customHeight="1" x14ac:dyDescent="0.3">
      <c r="A53" s="11"/>
      <c r="B53" s="12"/>
      <c r="C53" s="294" t="s">
        <v>36</v>
      </c>
      <c r="D53" s="295"/>
      <c r="E53" s="295"/>
      <c r="F53" s="295"/>
      <c r="G53" s="295"/>
      <c r="H53" s="295"/>
      <c r="I53" s="295"/>
      <c r="J53" s="296"/>
      <c r="K53" s="384" t="s">
        <v>194</v>
      </c>
      <c r="L53" s="385"/>
      <c r="M53" s="385"/>
      <c r="N53" s="385"/>
      <c r="O53" s="385"/>
      <c r="P53" s="386"/>
      <c r="Q53" s="373"/>
      <c r="R53" s="373"/>
      <c r="S53" s="373"/>
      <c r="T53" s="373"/>
      <c r="U53" s="385"/>
      <c r="V53" s="385"/>
      <c r="W53" s="94"/>
      <c r="X53" s="385"/>
      <c r="Y53" s="385"/>
      <c r="Z53" s="94"/>
      <c r="AA53" s="385"/>
      <c r="AB53" s="385"/>
      <c r="AC53" s="372">
        <f>AC54+AC55+AC56</f>
        <v>1050000</v>
      </c>
      <c r="AD53" s="373"/>
      <c r="AE53" s="373"/>
      <c r="AF53" s="373"/>
      <c r="AG53" s="373"/>
      <c r="AH53" s="374"/>
      <c r="AI53" s="299" t="str">
        <f t="shared" si="9"/>
        <v>수용비 소계1050000</v>
      </c>
      <c r="AJ53" s="299"/>
      <c r="AK53" s="299"/>
      <c r="AL53" s="299"/>
      <c r="AM53" s="299"/>
      <c r="AN53" s="299"/>
      <c r="AO53" s="299"/>
      <c r="AP53" s="299"/>
      <c r="AQ53" s="299"/>
      <c r="AR53" s="299"/>
      <c r="AS53" s="299"/>
      <c r="AT53" s="299"/>
      <c r="AU53" s="14"/>
      <c r="AV53" s="14"/>
      <c r="AW53" s="14"/>
    </row>
    <row r="54" spans="1:49" s="10" customFormat="1" ht="17.100000000000001" customHeight="1" x14ac:dyDescent="0.3">
      <c r="A54" s="11"/>
      <c r="B54" s="12"/>
      <c r="C54" s="11"/>
      <c r="D54" s="15"/>
      <c r="E54" s="15"/>
      <c r="F54" s="15"/>
      <c r="G54" s="15"/>
      <c r="H54" s="15"/>
      <c r="I54" s="15"/>
      <c r="J54" s="16"/>
      <c r="K54" s="285" t="s">
        <v>108</v>
      </c>
      <c r="L54" s="263"/>
      <c r="M54" s="263"/>
      <c r="N54" s="263"/>
      <c r="O54" s="263"/>
      <c r="P54" s="286"/>
      <c r="Q54" s="298">
        <v>200000</v>
      </c>
      <c r="R54" s="298"/>
      <c r="S54" s="298"/>
      <c r="T54" s="298"/>
      <c r="U54" s="263" t="s">
        <v>379</v>
      </c>
      <c r="V54" s="263"/>
      <c r="W54" s="17">
        <v>3</v>
      </c>
      <c r="X54" s="263" t="s">
        <v>418</v>
      </c>
      <c r="Y54" s="263"/>
      <c r="Z54" s="17"/>
      <c r="AA54" s="263"/>
      <c r="AB54" s="263"/>
      <c r="AC54" s="306">
        <f>Q54*W54</f>
        <v>600000</v>
      </c>
      <c r="AD54" s="387"/>
      <c r="AE54" s="387"/>
      <c r="AF54" s="387"/>
      <c r="AG54" s="387"/>
      <c r="AH54" s="307"/>
      <c r="AI54" s="299" t="str">
        <f t="shared" ref="AI54:AI56" si="10">CONCATENATE(K54,Q54,U54,W54,X54,Z54,AA54,AC54)</f>
        <v>제수수료  200000원×3월 =600000</v>
      </c>
      <c r="AJ54" s="299"/>
      <c r="AK54" s="299"/>
      <c r="AL54" s="299"/>
      <c r="AM54" s="299"/>
      <c r="AN54" s="299"/>
      <c r="AO54" s="299"/>
      <c r="AP54" s="299"/>
      <c r="AQ54" s="299"/>
      <c r="AR54" s="299"/>
      <c r="AS54" s="299"/>
      <c r="AT54" s="299"/>
      <c r="AU54" s="14"/>
      <c r="AV54" s="14"/>
      <c r="AW54" s="14"/>
    </row>
    <row r="55" spans="1:49" s="10" customFormat="1" ht="17.100000000000001" customHeight="1" x14ac:dyDescent="0.3">
      <c r="A55" s="11"/>
      <c r="B55" s="12"/>
      <c r="C55" s="11"/>
      <c r="D55" s="15"/>
      <c r="E55" s="15"/>
      <c r="F55" s="15"/>
      <c r="G55" s="15"/>
      <c r="H55" s="15"/>
      <c r="I55" s="15"/>
      <c r="J55" s="16"/>
      <c r="K55" s="285" t="s">
        <v>282</v>
      </c>
      <c r="L55" s="263"/>
      <c r="M55" s="263"/>
      <c r="N55" s="263"/>
      <c r="O55" s="263"/>
      <c r="P55" s="286"/>
      <c r="Q55" s="298">
        <v>100000</v>
      </c>
      <c r="R55" s="298"/>
      <c r="S55" s="298"/>
      <c r="T55" s="298"/>
      <c r="U55" s="263" t="s">
        <v>379</v>
      </c>
      <c r="V55" s="263"/>
      <c r="W55" s="17">
        <v>3</v>
      </c>
      <c r="X55" s="263" t="s">
        <v>418</v>
      </c>
      <c r="Y55" s="263"/>
      <c r="Z55" s="17"/>
      <c r="AA55" s="263"/>
      <c r="AB55" s="263"/>
      <c r="AC55" s="306">
        <f>Q55*W55</f>
        <v>300000</v>
      </c>
      <c r="AD55" s="387"/>
      <c r="AE55" s="387"/>
      <c r="AF55" s="387"/>
      <c r="AG55" s="387"/>
      <c r="AH55" s="307"/>
      <c r="AI55" s="299" t="str">
        <f t="shared" si="10"/>
        <v>소규모수선비  100000원×3월 =300000</v>
      </c>
      <c r="AJ55" s="299"/>
      <c r="AK55" s="299"/>
      <c r="AL55" s="299"/>
      <c r="AM55" s="299"/>
      <c r="AN55" s="299"/>
      <c r="AO55" s="299"/>
      <c r="AP55" s="299"/>
      <c r="AQ55" s="299"/>
      <c r="AR55" s="299"/>
      <c r="AS55" s="299"/>
      <c r="AT55" s="299"/>
      <c r="AU55" s="14"/>
      <c r="AV55" s="14"/>
      <c r="AW55" s="14"/>
    </row>
    <row r="56" spans="1:49" s="10" customFormat="1" ht="17.100000000000001" customHeight="1" x14ac:dyDescent="0.3">
      <c r="A56" s="11"/>
      <c r="B56" s="12"/>
      <c r="C56" s="18"/>
      <c r="D56" s="19"/>
      <c r="E56" s="19"/>
      <c r="F56" s="19"/>
      <c r="G56" s="19"/>
      <c r="H56" s="19"/>
      <c r="I56" s="19"/>
      <c r="J56" s="20"/>
      <c r="K56" s="285" t="s">
        <v>298</v>
      </c>
      <c r="L56" s="263"/>
      <c r="M56" s="263"/>
      <c r="N56" s="263"/>
      <c r="O56" s="263"/>
      <c r="P56" s="286"/>
      <c r="Q56" s="297">
        <v>50000</v>
      </c>
      <c r="R56" s="297"/>
      <c r="S56" s="297"/>
      <c r="T56" s="297"/>
      <c r="U56" s="283" t="s">
        <v>379</v>
      </c>
      <c r="V56" s="283"/>
      <c r="W56" s="37">
        <v>3</v>
      </c>
      <c r="X56" s="283" t="s">
        <v>418</v>
      </c>
      <c r="Y56" s="283"/>
      <c r="Z56" s="37"/>
      <c r="AA56" s="283"/>
      <c r="AB56" s="283"/>
      <c r="AC56" s="304">
        <f>Q56*W56</f>
        <v>150000</v>
      </c>
      <c r="AD56" s="297"/>
      <c r="AE56" s="297"/>
      <c r="AF56" s="297"/>
      <c r="AG56" s="297"/>
      <c r="AH56" s="305"/>
      <c r="AI56" s="299" t="str">
        <f t="shared" si="10"/>
        <v>기타 수용비  50000원×3월 =150000</v>
      </c>
      <c r="AJ56" s="299"/>
      <c r="AK56" s="299"/>
      <c r="AL56" s="299"/>
      <c r="AM56" s="299"/>
      <c r="AN56" s="299"/>
      <c r="AO56" s="299"/>
      <c r="AP56" s="299"/>
      <c r="AQ56" s="299"/>
      <c r="AR56" s="299"/>
      <c r="AS56" s="299"/>
      <c r="AT56" s="299"/>
      <c r="AU56" s="14"/>
      <c r="AV56" s="14"/>
      <c r="AW56" s="14"/>
    </row>
    <row r="57" spans="1:49" s="10" customFormat="1" ht="17.100000000000001" customHeight="1" x14ac:dyDescent="0.3">
      <c r="A57" s="11"/>
      <c r="B57" s="12"/>
      <c r="C57" s="294" t="s">
        <v>463</v>
      </c>
      <c r="D57" s="295"/>
      <c r="E57" s="295"/>
      <c r="F57" s="295"/>
      <c r="G57" s="295"/>
      <c r="H57" s="295"/>
      <c r="I57" s="295"/>
      <c r="J57" s="296"/>
      <c r="K57" s="384" t="s">
        <v>171</v>
      </c>
      <c r="L57" s="385"/>
      <c r="M57" s="385"/>
      <c r="N57" s="385"/>
      <c r="O57" s="385"/>
      <c r="P57" s="386"/>
      <c r="Q57" s="373"/>
      <c r="R57" s="373"/>
      <c r="S57" s="373"/>
      <c r="T57" s="373"/>
      <c r="U57" s="385"/>
      <c r="V57" s="385"/>
      <c r="W57" s="94"/>
      <c r="X57" s="385"/>
      <c r="Y57" s="385"/>
      <c r="Z57" s="94"/>
      <c r="AA57" s="385"/>
      <c r="AB57" s="385"/>
      <c r="AC57" s="372">
        <f>AC58+AC59+AC60+AC61+AC62+AC63</f>
        <v>3000000</v>
      </c>
      <c r="AD57" s="373"/>
      <c r="AE57" s="373"/>
      <c r="AF57" s="373"/>
      <c r="AG57" s="373"/>
      <c r="AH57" s="374"/>
      <c r="AI57" s="299" t="str">
        <f t="shared" si="9"/>
        <v>공공요금 소계3000000</v>
      </c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14"/>
      <c r="AV57" s="14"/>
      <c r="AW57" s="14"/>
    </row>
    <row r="58" spans="1:49" s="10" customFormat="1" ht="17.100000000000001" customHeight="1" x14ac:dyDescent="0.3">
      <c r="A58" s="11"/>
      <c r="B58" s="12"/>
      <c r="C58" s="11"/>
      <c r="D58" s="15"/>
      <c r="E58" s="15"/>
      <c r="F58" s="15"/>
      <c r="G58" s="15"/>
      <c r="H58" s="15"/>
      <c r="I58" s="15"/>
      <c r="J58" s="16"/>
      <c r="K58" s="285" t="s">
        <v>283</v>
      </c>
      <c r="L58" s="388"/>
      <c r="M58" s="388"/>
      <c r="N58" s="388"/>
      <c r="O58" s="388"/>
      <c r="P58" s="286"/>
      <c r="Q58" s="387">
        <v>100000</v>
      </c>
      <c r="R58" s="387"/>
      <c r="S58" s="387"/>
      <c r="T58" s="387"/>
      <c r="U58" s="388" t="s">
        <v>379</v>
      </c>
      <c r="V58" s="388"/>
      <c r="W58" s="164">
        <v>3</v>
      </c>
      <c r="X58" s="388" t="s">
        <v>418</v>
      </c>
      <c r="Y58" s="388"/>
      <c r="Z58" s="164"/>
      <c r="AA58" s="388"/>
      <c r="AB58" s="388"/>
      <c r="AC58" s="306">
        <f>Q58*W58</f>
        <v>300000</v>
      </c>
      <c r="AD58" s="387"/>
      <c r="AE58" s="387"/>
      <c r="AF58" s="387"/>
      <c r="AG58" s="387"/>
      <c r="AH58" s="307"/>
      <c r="AI58" s="299" t="str">
        <f t="shared" ref="AI58:AI62" si="11">CONCATENATE(K58,Q58,U58,W58,X58,Z58,AA58,AC58)</f>
        <v>사무실관리비 등  100000원×3월 =300000</v>
      </c>
      <c r="AJ58" s="299"/>
      <c r="AK58" s="299"/>
      <c r="AL58" s="299"/>
      <c r="AM58" s="299"/>
      <c r="AN58" s="299"/>
      <c r="AO58" s="299"/>
      <c r="AP58" s="299"/>
      <c r="AQ58" s="299"/>
      <c r="AR58" s="299"/>
      <c r="AS58" s="299"/>
      <c r="AT58" s="299"/>
      <c r="AU58" s="14"/>
      <c r="AV58" s="14"/>
      <c r="AW58" s="14"/>
    </row>
    <row r="59" spans="1:49" s="10" customFormat="1" ht="17.100000000000001" customHeight="1" x14ac:dyDescent="0.3">
      <c r="A59" s="11"/>
      <c r="B59" s="12"/>
      <c r="C59" s="11"/>
      <c r="D59" s="15"/>
      <c r="E59" s="15"/>
      <c r="F59" s="15"/>
      <c r="G59" s="15"/>
      <c r="H59" s="15"/>
      <c r="I59" s="15"/>
      <c r="J59" s="16"/>
      <c r="K59" s="285" t="s">
        <v>296</v>
      </c>
      <c r="L59" s="388"/>
      <c r="M59" s="388"/>
      <c r="N59" s="388"/>
      <c r="O59" s="388"/>
      <c r="P59" s="286"/>
      <c r="Q59" s="387">
        <v>200000</v>
      </c>
      <c r="R59" s="387"/>
      <c r="S59" s="387"/>
      <c r="T59" s="387"/>
      <c r="U59" s="388" t="s">
        <v>379</v>
      </c>
      <c r="V59" s="388"/>
      <c r="W59" s="164">
        <v>3</v>
      </c>
      <c r="X59" s="388" t="s">
        <v>418</v>
      </c>
      <c r="Y59" s="388"/>
      <c r="Z59" s="164"/>
      <c r="AA59" s="388"/>
      <c r="AB59" s="388"/>
      <c r="AC59" s="306">
        <f>Q59*W59</f>
        <v>600000</v>
      </c>
      <c r="AD59" s="387"/>
      <c r="AE59" s="387"/>
      <c r="AF59" s="387"/>
      <c r="AG59" s="387"/>
      <c r="AH59" s="307"/>
      <c r="AI59" s="299" t="str">
        <f t="shared" si="11"/>
        <v>전기요금 등  200000원×3월 =600000</v>
      </c>
      <c r="AJ59" s="299"/>
      <c r="AK59" s="299"/>
      <c r="AL59" s="299"/>
      <c r="AM59" s="299"/>
      <c r="AN59" s="299"/>
      <c r="AO59" s="299"/>
      <c r="AP59" s="299"/>
      <c r="AQ59" s="299"/>
      <c r="AR59" s="299"/>
      <c r="AS59" s="299"/>
      <c r="AT59" s="299"/>
      <c r="AU59" s="14"/>
      <c r="AV59" s="14"/>
      <c r="AW59" s="14"/>
    </row>
    <row r="60" spans="1:49" s="10" customFormat="1" ht="17.100000000000001" customHeight="1" x14ac:dyDescent="0.3">
      <c r="A60" s="11"/>
      <c r="B60" s="12"/>
      <c r="C60" s="11"/>
      <c r="D60" s="15"/>
      <c r="E60" s="15"/>
      <c r="F60" s="15"/>
      <c r="G60" s="15"/>
      <c r="H60" s="15"/>
      <c r="I60" s="15"/>
      <c r="J60" s="16"/>
      <c r="K60" s="285" t="s">
        <v>91</v>
      </c>
      <c r="L60" s="388"/>
      <c r="M60" s="388"/>
      <c r="N60" s="388"/>
      <c r="O60" s="388"/>
      <c r="P60" s="286"/>
      <c r="Q60" s="387">
        <v>100000</v>
      </c>
      <c r="R60" s="387"/>
      <c r="S60" s="387"/>
      <c r="T60" s="387"/>
      <c r="U60" s="388" t="s">
        <v>379</v>
      </c>
      <c r="V60" s="388"/>
      <c r="W60" s="164">
        <v>3</v>
      </c>
      <c r="X60" s="388" t="s">
        <v>418</v>
      </c>
      <c r="Y60" s="388"/>
      <c r="Z60" s="164"/>
      <c r="AA60" s="388"/>
      <c r="AB60" s="388"/>
      <c r="AC60" s="306">
        <f>Q60*W60</f>
        <v>300000</v>
      </c>
      <c r="AD60" s="387"/>
      <c r="AE60" s="387"/>
      <c r="AF60" s="387"/>
      <c r="AG60" s="387"/>
      <c r="AH60" s="307"/>
      <c r="AI60" s="299" t="str">
        <f t="shared" si="11"/>
        <v>통신비 등  100000원×3월 =300000</v>
      </c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  <c r="AU60" s="14"/>
      <c r="AV60" s="14"/>
      <c r="AW60" s="14"/>
    </row>
    <row r="61" spans="1:49" s="10" customFormat="1" ht="17.100000000000001" customHeight="1" x14ac:dyDescent="0.3">
      <c r="A61" s="11"/>
      <c r="B61" s="12"/>
      <c r="C61" s="11"/>
      <c r="D61" s="15"/>
      <c r="E61" s="15"/>
      <c r="F61" s="15"/>
      <c r="G61" s="15"/>
      <c r="H61" s="15"/>
      <c r="I61" s="15"/>
      <c r="J61" s="16"/>
      <c r="K61" s="285" t="s">
        <v>217</v>
      </c>
      <c r="L61" s="388"/>
      <c r="M61" s="388"/>
      <c r="N61" s="388"/>
      <c r="O61" s="388"/>
      <c r="P61" s="286"/>
      <c r="Q61" s="387">
        <v>50000</v>
      </c>
      <c r="R61" s="387"/>
      <c r="S61" s="387"/>
      <c r="T61" s="387"/>
      <c r="U61" s="388" t="s">
        <v>379</v>
      </c>
      <c r="V61" s="388"/>
      <c r="W61" s="164">
        <v>3</v>
      </c>
      <c r="X61" s="388" t="s">
        <v>418</v>
      </c>
      <c r="Y61" s="388"/>
      <c r="Z61" s="164"/>
      <c r="AA61" s="388"/>
      <c r="AB61" s="388"/>
      <c r="AC61" s="306">
        <f>Q61*W61</f>
        <v>150000</v>
      </c>
      <c r="AD61" s="387"/>
      <c r="AE61" s="387"/>
      <c r="AF61" s="387"/>
      <c r="AG61" s="387"/>
      <c r="AH61" s="307"/>
      <c r="AI61" s="299" t="str">
        <f t="shared" si="11"/>
        <v>각 종 세금50000원×3월 =150000</v>
      </c>
      <c r="AJ61" s="299"/>
      <c r="AK61" s="299"/>
      <c r="AL61" s="299"/>
      <c r="AM61" s="299"/>
      <c r="AN61" s="299"/>
      <c r="AO61" s="299"/>
      <c r="AP61" s="299"/>
      <c r="AQ61" s="299"/>
      <c r="AR61" s="299"/>
      <c r="AS61" s="299"/>
      <c r="AT61" s="299"/>
      <c r="AU61" s="14"/>
      <c r="AV61" s="14"/>
      <c r="AW61" s="14"/>
    </row>
    <row r="62" spans="1:49" s="10" customFormat="1" ht="17.100000000000001" customHeight="1" x14ac:dyDescent="0.3">
      <c r="A62" s="11"/>
      <c r="B62" s="12"/>
      <c r="C62" s="11"/>
      <c r="D62" s="15"/>
      <c r="E62" s="15"/>
      <c r="F62" s="15"/>
      <c r="G62" s="15"/>
      <c r="H62" s="15"/>
      <c r="I62" s="15"/>
      <c r="J62" s="16"/>
      <c r="K62" s="285" t="s">
        <v>132</v>
      </c>
      <c r="L62" s="388"/>
      <c r="M62" s="388"/>
      <c r="N62" s="388"/>
      <c r="O62" s="388"/>
      <c r="P62" s="286"/>
      <c r="Q62" s="387">
        <v>50000</v>
      </c>
      <c r="R62" s="387"/>
      <c r="S62" s="387"/>
      <c r="T62" s="387"/>
      <c r="U62" s="388" t="s">
        <v>379</v>
      </c>
      <c r="V62" s="388"/>
      <c r="W62" s="164">
        <v>3</v>
      </c>
      <c r="X62" s="388" t="s">
        <v>418</v>
      </c>
      <c r="Y62" s="388"/>
      <c r="Z62" s="164"/>
      <c r="AA62" s="388"/>
      <c r="AB62" s="388"/>
      <c r="AC62" s="306">
        <f>Q62*W62</f>
        <v>150000</v>
      </c>
      <c r="AD62" s="387"/>
      <c r="AE62" s="387"/>
      <c r="AF62" s="387"/>
      <c r="AG62" s="387"/>
      <c r="AH62" s="307"/>
      <c r="AI62" s="299" t="str">
        <f t="shared" si="11"/>
        <v>협회비 등  50000원×3월 =150000</v>
      </c>
      <c r="AJ62" s="299"/>
      <c r="AK62" s="299"/>
      <c r="AL62" s="299"/>
      <c r="AM62" s="299"/>
      <c r="AN62" s="299"/>
      <c r="AO62" s="299"/>
      <c r="AP62" s="299"/>
      <c r="AQ62" s="299"/>
      <c r="AR62" s="299"/>
      <c r="AS62" s="299"/>
      <c r="AT62" s="299"/>
      <c r="AU62" s="14"/>
      <c r="AV62" s="14"/>
      <c r="AW62" s="14"/>
    </row>
    <row r="63" spans="1:49" s="10" customFormat="1" ht="17.100000000000001" customHeight="1" x14ac:dyDescent="0.3">
      <c r="A63" s="11"/>
      <c r="B63" s="12"/>
      <c r="C63" s="18"/>
      <c r="D63" s="19"/>
      <c r="E63" s="19"/>
      <c r="F63" s="19"/>
      <c r="G63" s="19"/>
      <c r="H63" s="19"/>
      <c r="I63" s="19"/>
      <c r="J63" s="20"/>
      <c r="K63" s="282" t="s">
        <v>93</v>
      </c>
      <c r="L63" s="283"/>
      <c r="M63" s="283"/>
      <c r="N63" s="283"/>
      <c r="O63" s="283"/>
      <c r="P63" s="284"/>
      <c r="Q63" s="389" t="s">
        <v>485</v>
      </c>
      <c r="R63" s="390"/>
      <c r="S63" s="390"/>
      <c r="T63" s="390"/>
      <c r="U63" s="390"/>
      <c r="V63" s="390"/>
      <c r="W63" s="390"/>
      <c r="X63" s="390"/>
      <c r="Y63" s="390"/>
      <c r="Z63" s="390"/>
      <c r="AA63" s="390"/>
      <c r="AB63" s="391"/>
      <c r="AC63" s="304">
        <v>1500000</v>
      </c>
      <c r="AD63" s="297"/>
      <c r="AE63" s="297"/>
      <c r="AF63" s="297"/>
      <c r="AG63" s="297"/>
      <c r="AH63" s="305"/>
      <c r="AI63" s="299" t="str">
        <f>CONCATENATE(Q63,U63,W63,X63,Z63,AA63,AC63)</f>
        <v xml:space="preserve">       1500000  원       1   회1500000</v>
      </c>
      <c r="AJ63" s="299"/>
      <c r="AK63" s="299"/>
      <c r="AL63" s="299"/>
      <c r="AM63" s="299"/>
      <c r="AN63" s="299"/>
      <c r="AO63" s="299"/>
      <c r="AP63" s="299"/>
      <c r="AQ63" s="299"/>
      <c r="AR63" s="299"/>
      <c r="AS63" s="299"/>
      <c r="AT63" s="299"/>
      <c r="AU63" s="14"/>
      <c r="AV63" s="14"/>
      <c r="AW63" s="14"/>
    </row>
    <row r="64" spans="1:49" s="10" customFormat="1" ht="17.100000000000001" customHeight="1" x14ac:dyDescent="0.3">
      <c r="A64" s="11"/>
      <c r="B64" s="12"/>
      <c r="C64" s="294" t="s">
        <v>482</v>
      </c>
      <c r="D64" s="295"/>
      <c r="E64" s="295"/>
      <c r="F64" s="295"/>
      <c r="G64" s="295"/>
      <c r="H64" s="295"/>
      <c r="I64" s="295"/>
      <c r="J64" s="296"/>
      <c r="K64" s="294" t="s">
        <v>482</v>
      </c>
      <c r="L64" s="295"/>
      <c r="M64" s="295"/>
      <c r="N64" s="295"/>
      <c r="O64" s="295"/>
      <c r="P64" s="296"/>
      <c r="Q64" s="298" t="s">
        <v>482</v>
      </c>
      <c r="R64" s="298"/>
      <c r="S64" s="298"/>
      <c r="T64" s="298"/>
      <c r="U64" s="295" t="s">
        <v>482</v>
      </c>
      <c r="V64" s="295"/>
      <c r="W64" s="17" t="s">
        <v>482</v>
      </c>
      <c r="X64" s="295" t="s">
        <v>482</v>
      </c>
      <c r="Y64" s="295"/>
      <c r="Z64" s="36"/>
      <c r="AA64" s="295"/>
      <c r="AB64" s="295"/>
      <c r="AC64" s="309" t="s">
        <v>482</v>
      </c>
      <c r="AD64" s="310"/>
      <c r="AE64" s="310"/>
      <c r="AF64" s="310"/>
      <c r="AG64" s="310"/>
      <c r="AH64" s="311"/>
      <c r="AI64" s="299" t="str">
        <f t="shared" ref="AI64:AI65" si="12">CONCATENATE(K64,Q64,U64,W64,X64,Z64,AA64,AC64)</f>
        <v xml:space="preserve">      </v>
      </c>
      <c r="AJ64" s="299"/>
      <c r="AK64" s="299"/>
      <c r="AL64" s="299"/>
      <c r="AM64" s="299"/>
      <c r="AN64" s="299"/>
      <c r="AO64" s="299"/>
      <c r="AP64" s="299"/>
      <c r="AQ64" s="299"/>
      <c r="AR64" s="299"/>
      <c r="AS64" s="299"/>
      <c r="AT64" s="299"/>
    </row>
    <row r="65" spans="1:49" s="10" customFormat="1" ht="17.100000000000001" customHeight="1" x14ac:dyDescent="0.3">
      <c r="A65" s="11"/>
      <c r="B65" s="12"/>
      <c r="C65" s="272" t="s">
        <v>134</v>
      </c>
      <c r="D65" s="273"/>
      <c r="E65" s="273"/>
      <c r="F65" s="273"/>
      <c r="G65" s="273"/>
      <c r="H65" s="273"/>
      <c r="I65" s="273"/>
      <c r="J65" s="274"/>
      <c r="K65" s="272" t="s">
        <v>112</v>
      </c>
      <c r="L65" s="273"/>
      <c r="M65" s="273"/>
      <c r="N65" s="273"/>
      <c r="O65" s="273"/>
      <c r="P65" s="274"/>
      <c r="Q65" s="275">
        <v>1100000</v>
      </c>
      <c r="R65" s="276"/>
      <c r="S65" s="276"/>
      <c r="T65" s="276"/>
      <c r="U65" s="273" t="s">
        <v>379</v>
      </c>
      <c r="V65" s="273"/>
      <c r="W65" s="22">
        <v>3</v>
      </c>
      <c r="X65" s="273" t="s">
        <v>418</v>
      </c>
      <c r="Y65" s="273"/>
      <c r="Z65" s="22"/>
      <c r="AA65" s="273"/>
      <c r="AB65" s="274"/>
      <c r="AC65" s="275">
        <f>ROUNDUP(Q65*W65,-1)</f>
        <v>3300000</v>
      </c>
      <c r="AD65" s="276"/>
      <c r="AE65" s="276"/>
      <c r="AF65" s="276"/>
      <c r="AG65" s="276"/>
      <c r="AH65" s="301"/>
      <c r="AI65" s="299" t="str">
        <f t="shared" si="12"/>
        <v>임차료  1100000원×3월 =3300000</v>
      </c>
      <c r="AJ65" s="299"/>
      <c r="AK65" s="299"/>
      <c r="AL65" s="299"/>
      <c r="AM65" s="299"/>
      <c r="AN65" s="299"/>
      <c r="AO65" s="299"/>
      <c r="AP65" s="299"/>
      <c r="AQ65" s="299"/>
      <c r="AR65" s="299"/>
      <c r="AS65" s="299"/>
      <c r="AT65" s="299"/>
      <c r="AU65" s="14"/>
      <c r="AV65" s="14"/>
      <c r="AW65" s="14"/>
    </row>
    <row r="66" spans="1:49" s="10" customFormat="1" ht="17.100000000000001" customHeight="1" x14ac:dyDescent="0.3">
      <c r="A66" s="11"/>
      <c r="B66" s="12"/>
      <c r="C66" s="294" t="s">
        <v>272</v>
      </c>
      <c r="D66" s="295"/>
      <c r="E66" s="295"/>
      <c r="F66" s="295"/>
      <c r="G66" s="295"/>
      <c r="H66" s="295"/>
      <c r="I66" s="295"/>
      <c r="J66" s="296"/>
      <c r="K66" s="384" t="s">
        <v>105</v>
      </c>
      <c r="L66" s="385"/>
      <c r="M66" s="385"/>
      <c r="N66" s="385"/>
      <c r="O66" s="385"/>
      <c r="P66" s="386"/>
      <c r="Q66" s="372"/>
      <c r="R66" s="373"/>
      <c r="S66" s="373"/>
      <c r="T66" s="373"/>
      <c r="U66" s="373"/>
      <c r="V66" s="373"/>
      <c r="W66" s="373"/>
      <c r="X66" s="373"/>
      <c r="Y66" s="373"/>
      <c r="Z66" s="373"/>
      <c r="AA66" s="373"/>
      <c r="AB66" s="374"/>
      <c r="AC66" s="372">
        <f>AC67+AC68</f>
        <v>1800000</v>
      </c>
      <c r="AD66" s="373"/>
      <c r="AE66" s="373"/>
      <c r="AF66" s="373"/>
      <c r="AG66" s="373"/>
      <c r="AH66" s="374"/>
      <c r="AI66" s="299" t="str">
        <f>CONCATENATE(Q66,U66,W66,X66,Z66,AA66,AC66)</f>
        <v>1800000</v>
      </c>
      <c r="AJ66" s="299"/>
      <c r="AK66" s="299"/>
      <c r="AL66" s="299"/>
      <c r="AM66" s="299"/>
      <c r="AN66" s="299"/>
      <c r="AO66" s="299"/>
      <c r="AP66" s="299"/>
      <c r="AQ66" s="299"/>
      <c r="AR66" s="299"/>
      <c r="AS66" s="299"/>
      <c r="AT66" s="299"/>
      <c r="AU66" s="14"/>
      <c r="AV66" s="14"/>
      <c r="AW66" s="14"/>
    </row>
    <row r="67" spans="1:49" s="10" customFormat="1" ht="17.100000000000001" customHeight="1" x14ac:dyDescent="0.3">
      <c r="A67" s="11"/>
      <c r="B67" s="12"/>
      <c r="C67" s="11"/>
      <c r="D67" s="15"/>
      <c r="E67" s="15"/>
      <c r="F67" s="15"/>
      <c r="G67" s="15"/>
      <c r="H67" s="15"/>
      <c r="I67" s="15"/>
      <c r="J67" s="16"/>
      <c r="K67" s="285" t="s">
        <v>347</v>
      </c>
      <c r="L67" s="263"/>
      <c r="M67" s="263"/>
      <c r="N67" s="263"/>
      <c r="O67" s="263"/>
      <c r="P67" s="286"/>
      <c r="Q67" s="387">
        <v>500000</v>
      </c>
      <c r="R67" s="387"/>
      <c r="S67" s="387"/>
      <c r="T67" s="387"/>
      <c r="U67" s="388" t="s">
        <v>379</v>
      </c>
      <c r="V67" s="388"/>
      <c r="W67" s="164">
        <v>3</v>
      </c>
      <c r="X67" s="388" t="s">
        <v>418</v>
      </c>
      <c r="Y67" s="388"/>
      <c r="Z67" s="164"/>
      <c r="AA67" s="388"/>
      <c r="AB67" s="388"/>
      <c r="AC67" s="306">
        <f>Q67*W67</f>
        <v>1500000</v>
      </c>
      <c r="AD67" s="387"/>
      <c r="AE67" s="387"/>
      <c r="AF67" s="387"/>
      <c r="AG67" s="387"/>
      <c r="AH67" s="307"/>
      <c r="AI67" s="299" t="str">
        <f t="shared" ref="AI67:AI68" si="13">CONCATENATE(K67,Q67,U67,W67,X67,Z67,AA67,AC67)</f>
        <v>직원 건강 및 복지500000원×3월 =1500000</v>
      </c>
      <c r="AJ67" s="299"/>
      <c r="AK67" s="299"/>
      <c r="AL67" s="299"/>
      <c r="AM67" s="299"/>
      <c r="AN67" s="299"/>
      <c r="AO67" s="299"/>
      <c r="AP67" s="299"/>
      <c r="AQ67" s="299"/>
      <c r="AR67" s="299"/>
      <c r="AS67" s="299"/>
      <c r="AT67" s="299"/>
      <c r="AU67" s="14"/>
      <c r="AV67" s="14"/>
      <c r="AW67" s="14"/>
    </row>
    <row r="68" spans="1:49" s="10" customFormat="1" ht="17.100000000000001" customHeight="1" x14ac:dyDescent="0.3">
      <c r="A68" s="11"/>
      <c r="B68" s="12"/>
      <c r="C68" s="18"/>
      <c r="D68" s="19"/>
      <c r="E68" s="19"/>
      <c r="F68" s="19"/>
      <c r="G68" s="19"/>
      <c r="H68" s="19"/>
      <c r="I68" s="19"/>
      <c r="J68" s="20"/>
      <c r="K68" s="282" t="s">
        <v>340</v>
      </c>
      <c r="L68" s="283"/>
      <c r="M68" s="283"/>
      <c r="N68" s="283"/>
      <c r="O68" s="283"/>
      <c r="P68" s="284"/>
      <c r="Q68" s="387">
        <v>100000</v>
      </c>
      <c r="R68" s="387"/>
      <c r="S68" s="387"/>
      <c r="T68" s="387"/>
      <c r="U68" s="388" t="s">
        <v>379</v>
      </c>
      <c r="V68" s="388"/>
      <c r="W68" s="164">
        <v>3</v>
      </c>
      <c r="X68" s="388" t="s">
        <v>418</v>
      </c>
      <c r="Y68" s="388"/>
      <c r="Z68" s="164"/>
      <c r="AA68" s="388"/>
      <c r="AB68" s="388"/>
      <c r="AC68" s="306">
        <f>Q68*W68</f>
        <v>300000</v>
      </c>
      <c r="AD68" s="387"/>
      <c r="AE68" s="387"/>
      <c r="AF68" s="387"/>
      <c r="AG68" s="387"/>
      <c r="AH68" s="307"/>
      <c r="AI68" s="299" t="str">
        <f t="shared" si="13"/>
        <v>그 외 미분류 경비100000원×3월 =300000</v>
      </c>
      <c r="AJ68" s="299"/>
      <c r="AK68" s="299"/>
      <c r="AL68" s="299"/>
      <c r="AM68" s="299"/>
      <c r="AN68" s="299"/>
      <c r="AO68" s="299"/>
      <c r="AP68" s="299"/>
      <c r="AQ68" s="299"/>
      <c r="AR68" s="299"/>
      <c r="AS68" s="299"/>
      <c r="AT68" s="299"/>
      <c r="AU68" s="14"/>
      <c r="AV68" s="14"/>
      <c r="AW68" s="14"/>
    </row>
    <row r="69" spans="1:49" s="10" customFormat="1" ht="17.100000000000001" customHeight="1" x14ac:dyDescent="0.3">
      <c r="A69" s="277" t="s">
        <v>293</v>
      </c>
      <c r="B69" s="278"/>
      <c r="C69" s="278"/>
      <c r="D69" s="278"/>
      <c r="E69" s="278"/>
      <c r="F69" s="278"/>
      <c r="G69" s="278"/>
      <c r="H69" s="278"/>
      <c r="I69" s="278"/>
      <c r="J69" s="278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302">
        <f>AC70</f>
        <v>200000</v>
      </c>
      <c r="AD69" s="302"/>
      <c r="AE69" s="302"/>
      <c r="AF69" s="302"/>
      <c r="AG69" s="302"/>
      <c r="AH69" s="303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</row>
    <row r="70" spans="1:49" s="10" customFormat="1" ht="17.100000000000001" customHeight="1" x14ac:dyDescent="0.3">
      <c r="A70" s="11"/>
      <c r="B70" s="353" t="s">
        <v>143</v>
      </c>
      <c r="C70" s="354"/>
      <c r="D70" s="354"/>
      <c r="E70" s="354"/>
      <c r="F70" s="354"/>
      <c r="G70" s="354"/>
      <c r="H70" s="354"/>
      <c r="I70" s="354"/>
      <c r="J70" s="355"/>
      <c r="K70" s="353"/>
      <c r="L70" s="354"/>
      <c r="M70" s="354"/>
      <c r="N70" s="354"/>
      <c r="O70" s="354"/>
      <c r="P70" s="355"/>
      <c r="Q70" s="354"/>
      <c r="R70" s="354"/>
      <c r="S70" s="354"/>
      <c r="T70" s="354"/>
      <c r="U70" s="354"/>
      <c r="V70" s="354"/>
      <c r="W70" s="27"/>
      <c r="X70" s="354"/>
      <c r="Y70" s="354"/>
      <c r="Z70" s="27"/>
      <c r="AA70" s="354"/>
      <c r="AB70" s="354"/>
      <c r="AC70" s="361">
        <f>SUM(AC71:AH73)</f>
        <v>200000</v>
      </c>
      <c r="AD70" s="362"/>
      <c r="AE70" s="362"/>
      <c r="AF70" s="362"/>
      <c r="AG70" s="362"/>
      <c r="AH70" s="363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</row>
    <row r="71" spans="1:49" s="10" customFormat="1" ht="17.100000000000001" hidden="1" customHeight="1" x14ac:dyDescent="0.3">
      <c r="A71" s="11"/>
      <c r="B71" s="34"/>
      <c r="C71" s="272" t="s">
        <v>135</v>
      </c>
      <c r="D71" s="273"/>
      <c r="E71" s="273"/>
      <c r="F71" s="273"/>
      <c r="G71" s="273"/>
      <c r="H71" s="273"/>
      <c r="I71" s="273"/>
      <c r="J71" s="274"/>
      <c r="K71" s="272" t="s">
        <v>438</v>
      </c>
      <c r="L71" s="273"/>
      <c r="M71" s="273"/>
      <c r="N71" s="273"/>
      <c r="O71" s="273"/>
      <c r="P71" s="274"/>
      <c r="Q71" s="275" t="s">
        <v>51</v>
      </c>
      <c r="R71" s="276"/>
      <c r="S71" s="276"/>
      <c r="T71" s="276"/>
      <c r="U71" s="276"/>
      <c r="V71" s="276"/>
      <c r="W71" s="276"/>
      <c r="X71" s="276"/>
      <c r="Y71" s="276"/>
      <c r="Z71" s="276"/>
      <c r="AA71" s="276"/>
      <c r="AB71" s="301"/>
      <c r="AC71" s="275">
        <f>예산Balnace!$M$38</f>
        <v>0</v>
      </c>
      <c r="AD71" s="276"/>
      <c r="AE71" s="276"/>
      <c r="AF71" s="276"/>
      <c r="AG71" s="276"/>
      <c r="AH71" s="301"/>
      <c r="AI71" s="299" t="str">
        <f>CONCATENATE(Q71,U71,W71,X71,Z71,AA71,AC71)</f>
        <v>시설개보수 등 시설비  0</v>
      </c>
      <c r="AJ71" s="299"/>
      <c r="AK71" s="299"/>
      <c r="AL71" s="299"/>
      <c r="AM71" s="299"/>
      <c r="AN71" s="299"/>
      <c r="AO71" s="299"/>
      <c r="AP71" s="299"/>
      <c r="AQ71" s="299"/>
      <c r="AR71" s="299"/>
      <c r="AS71" s="299"/>
      <c r="AT71" s="299"/>
    </row>
    <row r="72" spans="1:49" s="10" customFormat="1" ht="17.100000000000001" customHeight="1" x14ac:dyDescent="0.3">
      <c r="A72" s="11"/>
      <c r="B72" s="34"/>
      <c r="C72" s="272" t="s">
        <v>264</v>
      </c>
      <c r="D72" s="273"/>
      <c r="E72" s="273"/>
      <c r="F72" s="273"/>
      <c r="G72" s="273"/>
      <c r="H72" s="273"/>
      <c r="I72" s="273"/>
      <c r="J72" s="274"/>
      <c r="K72" s="272" t="s">
        <v>100</v>
      </c>
      <c r="L72" s="273"/>
      <c r="M72" s="273"/>
      <c r="N72" s="273"/>
      <c r="O72" s="273"/>
      <c r="P72" s="274"/>
      <c r="Q72" s="275" t="s">
        <v>486</v>
      </c>
      <c r="R72" s="276"/>
      <c r="S72" s="276"/>
      <c r="T72" s="276"/>
      <c r="U72" s="276"/>
      <c r="V72" s="276"/>
      <c r="W72" s="276"/>
      <c r="X72" s="276"/>
      <c r="Y72" s="276"/>
      <c r="Z72" s="276"/>
      <c r="AA72" s="276"/>
      <c r="AB72" s="301"/>
      <c r="AC72" s="275">
        <v>200000</v>
      </c>
      <c r="AD72" s="276"/>
      <c r="AE72" s="276"/>
      <c r="AF72" s="276"/>
      <c r="AG72" s="276"/>
      <c r="AH72" s="301"/>
      <c r="AI72" s="299" t="str">
        <f>CONCATENATE(Q72,U72,W72,X72,Z72,AA72,AC72)</f>
        <v>비품 등의 자산 취득비  200000</v>
      </c>
      <c r="AJ72" s="299"/>
      <c r="AK72" s="299"/>
      <c r="AL72" s="299"/>
      <c r="AM72" s="299"/>
      <c r="AN72" s="299"/>
      <c r="AO72" s="299"/>
      <c r="AP72" s="299"/>
      <c r="AQ72" s="299"/>
      <c r="AR72" s="299"/>
      <c r="AS72" s="299"/>
      <c r="AT72" s="299"/>
    </row>
    <row r="73" spans="1:49" s="10" customFormat="1" ht="17.100000000000001" hidden="1" customHeight="1" x14ac:dyDescent="0.3">
      <c r="A73" s="18"/>
      <c r="B73" s="35"/>
      <c r="C73" s="272" t="s">
        <v>285</v>
      </c>
      <c r="D73" s="273"/>
      <c r="E73" s="273"/>
      <c r="F73" s="273"/>
      <c r="G73" s="273"/>
      <c r="H73" s="273"/>
      <c r="I73" s="273"/>
      <c r="J73" s="274"/>
      <c r="K73" s="272" t="s">
        <v>139</v>
      </c>
      <c r="L73" s="273"/>
      <c r="M73" s="273"/>
      <c r="N73" s="273"/>
      <c r="O73" s="273"/>
      <c r="P73" s="274"/>
      <c r="Q73" s="275" t="s">
        <v>454</v>
      </c>
      <c r="R73" s="276"/>
      <c r="S73" s="276"/>
      <c r="T73" s="276"/>
      <c r="U73" s="276"/>
      <c r="V73" s="276"/>
      <c r="W73" s="276"/>
      <c r="X73" s="276"/>
      <c r="Y73" s="276"/>
      <c r="Z73" s="276"/>
      <c r="AA73" s="276"/>
      <c r="AB73" s="301"/>
      <c r="AC73" s="275">
        <f>예산Balnace!$M$40</f>
        <v>0</v>
      </c>
      <c r="AD73" s="276"/>
      <c r="AE73" s="276"/>
      <c r="AF73" s="276"/>
      <c r="AG73" s="276"/>
      <c r="AH73" s="301"/>
      <c r="AI73" s="299" t="str">
        <f>CONCATENATE(Q73,U73,W73,X73,Z73,AA73,AC73)</f>
        <v>시설자산 등의 수선,유지보수비  0</v>
      </c>
      <c r="AJ73" s="299"/>
      <c r="AK73" s="299"/>
      <c r="AL73" s="299"/>
      <c r="AM73" s="299"/>
      <c r="AN73" s="299"/>
      <c r="AO73" s="299"/>
      <c r="AP73" s="299"/>
      <c r="AQ73" s="299"/>
      <c r="AR73" s="299"/>
      <c r="AS73" s="299"/>
      <c r="AT73" s="299"/>
    </row>
    <row r="74" spans="1:49" s="10" customFormat="1" ht="17.100000000000001" customHeight="1" x14ac:dyDescent="0.3">
      <c r="A74" s="277" t="s">
        <v>199</v>
      </c>
      <c r="B74" s="278"/>
      <c r="C74" s="278"/>
      <c r="D74" s="278"/>
      <c r="E74" s="278"/>
      <c r="F74" s="278"/>
      <c r="G74" s="278"/>
      <c r="H74" s="278"/>
      <c r="I74" s="278"/>
      <c r="J74" s="278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302">
        <f>AC75+AC88+AC94</f>
        <v>100000</v>
      </c>
      <c r="AD74" s="302"/>
      <c r="AE74" s="302"/>
      <c r="AF74" s="302"/>
      <c r="AG74" s="302"/>
      <c r="AH74" s="303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1:49" s="10" customFormat="1" ht="17.100000000000001" hidden="1" customHeight="1" x14ac:dyDescent="0.3">
      <c r="A75" s="11"/>
      <c r="B75" s="353" t="s">
        <v>121</v>
      </c>
      <c r="C75" s="354"/>
      <c r="D75" s="354"/>
      <c r="E75" s="354"/>
      <c r="F75" s="354"/>
      <c r="G75" s="354"/>
      <c r="H75" s="354"/>
      <c r="I75" s="354"/>
      <c r="J75" s="355"/>
      <c r="K75" s="353"/>
      <c r="L75" s="354"/>
      <c r="M75" s="354"/>
      <c r="N75" s="354"/>
      <c r="O75" s="354"/>
      <c r="P75" s="355"/>
      <c r="Q75" s="354"/>
      <c r="R75" s="354"/>
      <c r="S75" s="354"/>
      <c r="T75" s="354"/>
      <c r="U75" s="354"/>
      <c r="V75" s="354"/>
      <c r="W75" s="27"/>
      <c r="X75" s="354"/>
      <c r="Y75" s="354"/>
      <c r="Z75" s="27"/>
      <c r="AA75" s="354"/>
      <c r="AB75" s="354"/>
      <c r="AC75" s="361">
        <f>AC76+AC84+AC85+AC86+AC87</f>
        <v>0</v>
      </c>
      <c r="AD75" s="362"/>
      <c r="AE75" s="362"/>
      <c r="AF75" s="362"/>
      <c r="AG75" s="362"/>
      <c r="AH75" s="363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</row>
    <row r="76" spans="1:49" s="10" customFormat="1" ht="17.100000000000001" hidden="1" customHeight="1" x14ac:dyDescent="0.3">
      <c r="A76" s="11"/>
      <c r="B76" s="34"/>
      <c r="C76" s="375" t="s">
        <v>212</v>
      </c>
      <c r="D76" s="376"/>
      <c r="E76" s="376"/>
      <c r="F76" s="376"/>
      <c r="G76" s="376"/>
      <c r="H76" s="376"/>
      <c r="I76" s="376"/>
      <c r="J76" s="377"/>
      <c r="K76" s="378" t="s">
        <v>219</v>
      </c>
      <c r="L76" s="379"/>
      <c r="M76" s="379"/>
      <c r="N76" s="379"/>
      <c r="O76" s="379"/>
      <c r="P76" s="380"/>
      <c r="Q76" s="381"/>
      <c r="R76" s="382"/>
      <c r="S76" s="382"/>
      <c r="T76" s="382"/>
      <c r="U76" s="382"/>
      <c r="V76" s="382"/>
      <c r="W76" s="382"/>
      <c r="X76" s="382"/>
      <c r="Y76" s="382"/>
      <c r="Z76" s="382"/>
      <c r="AA76" s="382"/>
      <c r="AB76" s="383"/>
      <c r="AC76" s="381">
        <f>AC77+AC78+AC79+AC80</f>
        <v>0</v>
      </c>
      <c r="AD76" s="382"/>
      <c r="AE76" s="382"/>
      <c r="AF76" s="382"/>
      <c r="AG76" s="382"/>
      <c r="AH76" s="383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</row>
    <row r="77" spans="1:49" s="10" customFormat="1" ht="17.100000000000001" hidden="1" customHeight="1" x14ac:dyDescent="0.3">
      <c r="A77" s="11"/>
      <c r="B77" s="34"/>
      <c r="C77" s="40"/>
      <c r="D77" s="39"/>
      <c r="E77" s="39"/>
      <c r="F77" s="39"/>
      <c r="G77" s="39"/>
      <c r="H77" s="39"/>
      <c r="I77" s="39"/>
      <c r="J77" s="41"/>
      <c r="K77" s="272" t="s">
        <v>291</v>
      </c>
      <c r="L77" s="273"/>
      <c r="M77" s="273"/>
      <c r="N77" s="273"/>
      <c r="O77" s="273"/>
      <c r="P77" s="274"/>
      <c r="Q77" s="275">
        <f>세입예산서!$Q$13</f>
        <v>0</v>
      </c>
      <c r="R77" s="276"/>
      <c r="S77" s="276"/>
      <c r="T77" s="276"/>
      <c r="U77" s="273" t="s">
        <v>379</v>
      </c>
      <c r="V77" s="273"/>
      <c r="W77" s="22">
        <f>예산서사전준비!$H$13-예산서사전준비!$G$13</f>
        <v>0</v>
      </c>
      <c r="X77" s="273" t="s">
        <v>406</v>
      </c>
      <c r="Y77" s="273"/>
      <c r="Z77" s="22">
        <f>예산서사전준비!$D$3</f>
        <v>6</v>
      </c>
      <c r="AA77" s="273" t="s">
        <v>418</v>
      </c>
      <c r="AB77" s="273"/>
      <c r="AC77" s="275">
        <f>ROUNDUP(Q77*W77*Z77,-1)</f>
        <v>0</v>
      </c>
      <c r="AD77" s="276"/>
      <c r="AE77" s="276"/>
      <c r="AF77" s="276"/>
      <c r="AG77" s="276"/>
      <c r="AH77" s="301"/>
      <c r="AI77" s="299" t="str">
        <f t="shared" ref="AI77:AI79" si="14">CONCATENATE(K77,Q77,U77,W77,X77,Z77,AA77,AC77)</f>
        <v>생계비(일반)  0원×0명×6월 =0</v>
      </c>
      <c r="AJ77" s="299"/>
      <c r="AK77" s="299"/>
      <c r="AL77" s="299"/>
      <c r="AM77" s="299"/>
      <c r="AN77" s="299"/>
      <c r="AO77" s="299"/>
      <c r="AP77" s="299"/>
      <c r="AQ77" s="299"/>
      <c r="AR77" s="299"/>
      <c r="AS77" s="299"/>
      <c r="AT77" s="299"/>
    </row>
    <row r="78" spans="1:49" s="10" customFormat="1" ht="17.100000000000001" hidden="1" customHeight="1" x14ac:dyDescent="0.3">
      <c r="A78" s="11"/>
      <c r="B78" s="34"/>
      <c r="C78" s="40"/>
      <c r="D78" s="39"/>
      <c r="E78" s="39"/>
      <c r="F78" s="39"/>
      <c r="G78" s="39"/>
      <c r="H78" s="39"/>
      <c r="I78" s="39"/>
      <c r="J78" s="41"/>
      <c r="K78" s="272" t="s">
        <v>295</v>
      </c>
      <c r="L78" s="273"/>
      <c r="M78" s="273"/>
      <c r="N78" s="273"/>
      <c r="O78" s="273"/>
      <c r="P78" s="274"/>
      <c r="Q78" s="275" t="s">
        <v>41</v>
      </c>
      <c r="R78" s="276"/>
      <c r="S78" s="276"/>
      <c r="T78" s="276"/>
      <c r="U78" s="276"/>
      <c r="V78" s="276"/>
      <c r="W78" s="276"/>
      <c r="X78" s="276"/>
      <c r="Y78" s="276"/>
      <c r="Z78" s="276"/>
      <c r="AA78" s="276"/>
      <c r="AB78" s="301"/>
      <c r="AC78" s="275">
        <f>세입예산서!$AC$57</f>
        <v>0</v>
      </c>
      <c r="AD78" s="276"/>
      <c r="AE78" s="276"/>
      <c r="AF78" s="276"/>
      <c r="AG78" s="276"/>
      <c r="AH78" s="301"/>
      <c r="AI78" s="299" t="str">
        <f>CONCATENATE(K78,Q78,U78,W78,X78,Z78,AA78,AC78)</f>
        <v>생계비(이월)  이월 식재료비 지출  0</v>
      </c>
      <c r="AJ78" s="299"/>
      <c r="AK78" s="299"/>
      <c r="AL78" s="299"/>
      <c r="AM78" s="299"/>
      <c r="AN78" s="299"/>
      <c r="AO78" s="299"/>
      <c r="AP78" s="299"/>
      <c r="AQ78" s="299"/>
      <c r="AR78" s="299"/>
      <c r="AS78" s="299"/>
      <c r="AT78" s="299"/>
    </row>
    <row r="79" spans="1:49" s="10" customFormat="1" ht="17.100000000000001" hidden="1" customHeight="1" x14ac:dyDescent="0.3">
      <c r="A79" s="11"/>
      <c r="B79" s="34"/>
      <c r="C79" s="40"/>
      <c r="D79" s="39"/>
      <c r="E79" s="39"/>
      <c r="F79" s="39"/>
      <c r="G79" s="39"/>
      <c r="H79" s="39"/>
      <c r="I79" s="39"/>
      <c r="J79" s="41"/>
      <c r="K79" s="272" t="s">
        <v>300</v>
      </c>
      <c r="L79" s="273"/>
      <c r="M79" s="273"/>
      <c r="N79" s="273"/>
      <c r="O79" s="273"/>
      <c r="P79" s="274"/>
      <c r="Q79" s="276">
        <f>세입예산서!$Q$62</f>
        <v>0</v>
      </c>
      <c r="R79" s="276"/>
      <c r="S79" s="276"/>
      <c r="T79" s="276"/>
      <c r="U79" s="273" t="s">
        <v>379</v>
      </c>
      <c r="V79" s="273"/>
      <c r="W79" s="17">
        <f>세입예산서!$W$62</f>
        <v>0</v>
      </c>
      <c r="X79" s="263" t="s">
        <v>406</v>
      </c>
      <c r="Y79" s="263"/>
      <c r="Z79" s="17">
        <f>예산서사전준비!$D$3</f>
        <v>6</v>
      </c>
      <c r="AA79" s="263" t="s">
        <v>418</v>
      </c>
      <c r="AB79" s="263"/>
      <c r="AC79" s="306">
        <f>ROUNDUP(Q79*W79*Z79,-1)</f>
        <v>0</v>
      </c>
      <c r="AD79" s="298"/>
      <c r="AE79" s="298"/>
      <c r="AF79" s="298"/>
      <c r="AG79" s="298"/>
      <c r="AH79" s="307"/>
      <c r="AI79" s="299" t="str">
        <f t="shared" si="14"/>
        <v>생계비(직원)  0원×0명×6월 =0</v>
      </c>
      <c r="AJ79" s="299"/>
      <c r="AK79" s="299"/>
      <c r="AL79" s="299"/>
      <c r="AM79" s="299"/>
      <c r="AN79" s="299"/>
      <c r="AO79" s="299"/>
      <c r="AP79" s="299"/>
      <c r="AQ79" s="299"/>
      <c r="AR79" s="299"/>
      <c r="AS79" s="299"/>
      <c r="AT79" s="299"/>
    </row>
    <row r="80" spans="1:49" s="10" customFormat="1" ht="17.100000000000001" hidden="1" customHeight="1" x14ac:dyDescent="0.3">
      <c r="A80" s="11"/>
      <c r="B80" s="34"/>
      <c r="C80" s="40"/>
      <c r="D80" s="39"/>
      <c r="E80" s="39"/>
      <c r="F80" s="39"/>
      <c r="G80" s="39"/>
      <c r="H80" s="39"/>
      <c r="I80" s="39"/>
      <c r="J80" s="41"/>
      <c r="K80" s="384" t="s">
        <v>294</v>
      </c>
      <c r="L80" s="385"/>
      <c r="M80" s="385"/>
      <c r="N80" s="385"/>
      <c r="O80" s="385"/>
      <c r="P80" s="386"/>
      <c r="Q80" s="372" t="s">
        <v>49</v>
      </c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4"/>
      <c r="AC80" s="372">
        <f>SUM(AC81:AH83)</f>
        <v>0</v>
      </c>
      <c r="AD80" s="373"/>
      <c r="AE80" s="373"/>
      <c r="AF80" s="373"/>
      <c r="AG80" s="373"/>
      <c r="AH80" s="374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</row>
    <row r="81" spans="1:46" s="10" customFormat="1" ht="17.100000000000001" hidden="1" customHeight="1" x14ac:dyDescent="0.3">
      <c r="A81" s="11"/>
      <c r="B81" s="34"/>
      <c r="C81" s="40"/>
      <c r="D81" s="39"/>
      <c r="E81" s="39"/>
      <c r="F81" s="39"/>
      <c r="G81" s="39"/>
      <c r="H81" s="39"/>
      <c r="I81" s="39"/>
      <c r="J81" s="41"/>
      <c r="K81" s="285" t="s">
        <v>52</v>
      </c>
      <c r="L81" s="263"/>
      <c r="M81" s="263"/>
      <c r="N81" s="263"/>
      <c r="O81" s="263"/>
      <c r="P81" s="286"/>
      <c r="Q81" s="298">
        <f>세입예산서!Q28</f>
        <v>0</v>
      </c>
      <c r="R81" s="298"/>
      <c r="S81" s="298"/>
      <c r="T81" s="298"/>
      <c r="U81" s="298" t="s">
        <v>379</v>
      </c>
      <c r="V81" s="298"/>
      <c r="W81" s="17">
        <f>세입예산서!W28</f>
        <v>0</v>
      </c>
      <c r="X81" s="298" t="s">
        <v>406</v>
      </c>
      <c r="Y81" s="298"/>
      <c r="Z81" s="17">
        <f>예산서사전준비!$D$3</f>
        <v>6</v>
      </c>
      <c r="AA81" s="298" t="s">
        <v>418</v>
      </c>
      <c r="AB81" s="298"/>
      <c r="AC81" s="306">
        <f>ROUNDUP(Q81*W81*Z81,-1)</f>
        <v>0</v>
      </c>
      <c r="AD81" s="298"/>
      <c r="AE81" s="298"/>
      <c r="AF81" s="298"/>
      <c r="AG81" s="298"/>
      <c r="AH81" s="307"/>
      <c r="AI81" s="299" t="str">
        <f t="shared" ref="AI81:AI87" si="15">CONCATENATE(K81,Q81,U81,W81,X81,Z81,AA81,AC81)</f>
        <v>생계비(기초수급자)  0원×0명×6월 =0</v>
      </c>
      <c r="AJ81" s="299"/>
      <c r="AK81" s="299"/>
      <c r="AL81" s="299"/>
      <c r="AM81" s="299"/>
      <c r="AN81" s="299"/>
      <c r="AO81" s="299"/>
      <c r="AP81" s="299"/>
      <c r="AQ81" s="299"/>
      <c r="AR81" s="299"/>
      <c r="AS81" s="299"/>
      <c r="AT81" s="299"/>
    </row>
    <row r="82" spans="1:46" s="10" customFormat="1" ht="17.100000000000001" hidden="1" customHeight="1" x14ac:dyDescent="0.3">
      <c r="A82" s="11"/>
      <c r="B82" s="34"/>
      <c r="C82" s="40"/>
      <c r="D82" s="39"/>
      <c r="E82" s="39"/>
      <c r="F82" s="39"/>
      <c r="G82" s="39"/>
      <c r="H82" s="39"/>
      <c r="I82" s="39"/>
      <c r="J82" s="41"/>
      <c r="K82" s="285" t="s">
        <v>79</v>
      </c>
      <c r="L82" s="263"/>
      <c r="M82" s="263"/>
      <c r="N82" s="263"/>
      <c r="O82" s="263"/>
      <c r="P82" s="286"/>
      <c r="Q82" s="298">
        <f>세입예산서!Q29</f>
        <v>0</v>
      </c>
      <c r="R82" s="298"/>
      <c r="S82" s="298"/>
      <c r="T82" s="298"/>
      <c r="U82" s="298" t="s">
        <v>379</v>
      </c>
      <c r="V82" s="298"/>
      <c r="W82" s="17">
        <f>세입예산서!W29</f>
        <v>0</v>
      </c>
      <c r="X82" s="298" t="s">
        <v>406</v>
      </c>
      <c r="Y82" s="298"/>
      <c r="Z82" s="17">
        <f>예산서사전준비!$D$3</f>
        <v>6</v>
      </c>
      <c r="AA82" s="298" t="s">
        <v>418</v>
      </c>
      <c r="AB82" s="298"/>
      <c r="AC82" s="306">
        <f>ROUNDUP(Q82*W82*Z82,-1)</f>
        <v>0</v>
      </c>
      <c r="AD82" s="298"/>
      <c r="AE82" s="298"/>
      <c r="AF82" s="298"/>
      <c r="AG82" s="298"/>
      <c r="AH82" s="307"/>
      <c r="AI82" s="299" t="str">
        <f t="shared" si="15"/>
        <v>특별위로금  0원×0명×6월 =0</v>
      </c>
      <c r="AJ82" s="299"/>
      <c r="AK82" s="299"/>
      <c r="AL82" s="299"/>
      <c r="AM82" s="299"/>
      <c r="AN82" s="299"/>
      <c r="AO82" s="299"/>
      <c r="AP82" s="299"/>
      <c r="AQ82" s="299"/>
      <c r="AR82" s="299"/>
      <c r="AS82" s="299"/>
      <c r="AT82" s="299"/>
    </row>
    <row r="83" spans="1:46" s="10" customFormat="1" ht="17.100000000000001" hidden="1" customHeight="1" x14ac:dyDescent="0.3">
      <c r="A83" s="11"/>
      <c r="B83" s="34"/>
      <c r="C83" s="42"/>
      <c r="D83" s="43"/>
      <c r="E83" s="43"/>
      <c r="F83" s="43"/>
      <c r="G83" s="43"/>
      <c r="H83" s="43"/>
      <c r="I83" s="43"/>
      <c r="J83" s="44"/>
      <c r="K83" s="282" t="s">
        <v>138</v>
      </c>
      <c r="L83" s="283"/>
      <c r="M83" s="283"/>
      <c r="N83" s="283"/>
      <c r="O83" s="283"/>
      <c r="P83" s="284"/>
      <c r="Q83" s="298">
        <f>세입예산서!Q30</f>
        <v>0</v>
      </c>
      <c r="R83" s="298"/>
      <c r="S83" s="298"/>
      <c r="T83" s="298"/>
      <c r="U83" s="297" t="s">
        <v>379</v>
      </c>
      <c r="V83" s="297"/>
      <c r="W83" s="17">
        <f>세입예산서!W30</f>
        <v>0</v>
      </c>
      <c r="X83" s="297" t="s">
        <v>406</v>
      </c>
      <c r="Y83" s="297"/>
      <c r="Z83" s="17">
        <f>예산서사전준비!$D$3</f>
        <v>6</v>
      </c>
      <c r="AA83" s="297" t="s">
        <v>418</v>
      </c>
      <c r="AB83" s="297"/>
      <c r="AC83" s="304">
        <f>ROUNDUP(Q83*W83*Z83,-1)</f>
        <v>0</v>
      </c>
      <c r="AD83" s="297"/>
      <c r="AE83" s="297"/>
      <c r="AF83" s="297"/>
      <c r="AG83" s="297"/>
      <c r="AH83" s="305"/>
      <c r="AI83" s="299" t="str">
        <f t="shared" si="15"/>
        <v>월동대책비  0원×0명×6월 =0</v>
      </c>
      <c r="AJ83" s="299"/>
      <c r="AK83" s="299"/>
      <c r="AL83" s="299"/>
      <c r="AM83" s="299"/>
      <c r="AN83" s="299"/>
      <c r="AO83" s="299"/>
      <c r="AP83" s="299"/>
      <c r="AQ83" s="299"/>
      <c r="AR83" s="299"/>
      <c r="AS83" s="299"/>
      <c r="AT83" s="299"/>
    </row>
    <row r="84" spans="1:46" s="10" customFormat="1" ht="17.100000000000001" hidden="1" customHeight="1" x14ac:dyDescent="0.3">
      <c r="A84" s="11"/>
      <c r="B84" s="34"/>
      <c r="C84" s="364" t="s">
        <v>297</v>
      </c>
      <c r="D84" s="365"/>
      <c r="E84" s="365"/>
      <c r="F84" s="365"/>
      <c r="G84" s="365"/>
      <c r="H84" s="365"/>
      <c r="I84" s="365"/>
      <c r="J84" s="366"/>
      <c r="K84" s="272" t="s">
        <v>468</v>
      </c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4"/>
      <c r="AC84" s="275">
        <f>예산Balnace!$M$42</f>
        <v>0</v>
      </c>
      <c r="AD84" s="276"/>
      <c r="AE84" s="276"/>
      <c r="AF84" s="276"/>
      <c r="AG84" s="276"/>
      <c r="AH84" s="301"/>
      <c r="AI84" s="299" t="str">
        <f t="shared" si="15"/>
        <v>입소자(이용자) 수용비(치약, 칫솔, 수건 등)  0</v>
      </c>
      <c r="AJ84" s="299"/>
      <c r="AK84" s="299"/>
      <c r="AL84" s="299"/>
      <c r="AM84" s="299"/>
      <c r="AN84" s="299"/>
      <c r="AO84" s="299"/>
      <c r="AP84" s="299"/>
      <c r="AQ84" s="299"/>
      <c r="AR84" s="299"/>
      <c r="AS84" s="299"/>
      <c r="AT84" s="299"/>
    </row>
    <row r="85" spans="1:46" s="10" customFormat="1" ht="17.100000000000001" hidden="1" customHeight="1" x14ac:dyDescent="0.3">
      <c r="A85" s="11"/>
      <c r="B85" s="34"/>
      <c r="C85" s="364" t="s">
        <v>136</v>
      </c>
      <c r="D85" s="365"/>
      <c r="E85" s="365"/>
      <c r="F85" s="365"/>
      <c r="G85" s="365"/>
      <c r="H85" s="365"/>
      <c r="I85" s="365"/>
      <c r="J85" s="366"/>
      <c r="K85" s="272" t="s">
        <v>472</v>
      </c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  <c r="AA85" s="273"/>
      <c r="AB85" s="274"/>
      <c r="AC85" s="275">
        <f>예산Balnace!$M$43</f>
        <v>0</v>
      </c>
      <c r="AD85" s="276"/>
      <c r="AE85" s="276"/>
      <c r="AF85" s="276"/>
      <c r="AG85" s="276"/>
      <c r="AH85" s="301"/>
      <c r="AI85" s="299" t="str">
        <f t="shared" si="15"/>
        <v>입소자(이용자)의 보건위생 및 시약대 등  0</v>
      </c>
      <c r="AJ85" s="299"/>
      <c r="AK85" s="299"/>
      <c r="AL85" s="299"/>
      <c r="AM85" s="299"/>
      <c r="AN85" s="299"/>
      <c r="AO85" s="299"/>
      <c r="AP85" s="299"/>
      <c r="AQ85" s="299"/>
      <c r="AR85" s="299"/>
      <c r="AS85" s="299"/>
      <c r="AT85" s="299"/>
    </row>
    <row r="86" spans="1:46" s="10" customFormat="1" ht="17.100000000000001" hidden="1" customHeight="1" x14ac:dyDescent="0.3">
      <c r="A86" s="11"/>
      <c r="B86" s="34"/>
      <c r="C86" s="364" t="s">
        <v>292</v>
      </c>
      <c r="D86" s="365"/>
      <c r="E86" s="365"/>
      <c r="F86" s="365"/>
      <c r="G86" s="365"/>
      <c r="H86" s="365"/>
      <c r="I86" s="365"/>
      <c r="J86" s="366"/>
      <c r="K86" s="272" t="s">
        <v>3</v>
      </c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  <c r="AA86" s="273"/>
      <c r="AB86" s="274"/>
      <c r="AC86" s="275">
        <v>0</v>
      </c>
      <c r="AD86" s="276"/>
      <c r="AE86" s="276"/>
      <c r="AF86" s="276"/>
      <c r="AG86" s="276"/>
      <c r="AH86" s="301"/>
      <c r="AI86" s="299" t="str">
        <f t="shared" si="15"/>
        <v>입소자(이용자)의 생계 이외의 급식 제공을 위한 비용 등  0</v>
      </c>
      <c r="AJ86" s="299"/>
      <c r="AK86" s="299"/>
      <c r="AL86" s="299"/>
      <c r="AM86" s="299"/>
      <c r="AN86" s="299"/>
      <c r="AO86" s="299"/>
      <c r="AP86" s="299"/>
      <c r="AQ86" s="299"/>
      <c r="AR86" s="299"/>
      <c r="AS86" s="299"/>
      <c r="AT86" s="299"/>
    </row>
    <row r="87" spans="1:46" s="10" customFormat="1" ht="17.100000000000001" hidden="1" customHeight="1" x14ac:dyDescent="0.3">
      <c r="A87" s="18"/>
      <c r="B87" s="35"/>
      <c r="C87" s="364" t="s">
        <v>124</v>
      </c>
      <c r="D87" s="365"/>
      <c r="E87" s="365"/>
      <c r="F87" s="365"/>
      <c r="G87" s="365"/>
      <c r="H87" s="365"/>
      <c r="I87" s="365"/>
      <c r="J87" s="366"/>
      <c r="K87" s="272" t="s">
        <v>471</v>
      </c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  <c r="AA87" s="273"/>
      <c r="AB87" s="274"/>
      <c r="AC87" s="275">
        <v>0</v>
      </c>
      <c r="AD87" s="276"/>
      <c r="AE87" s="276"/>
      <c r="AF87" s="276"/>
      <c r="AG87" s="276"/>
      <c r="AH87" s="301"/>
      <c r="AI87" s="299" t="str">
        <f t="shared" si="15"/>
        <v>보일러 및 난방시설, 취사에 필요한 연료비    0</v>
      </c>
      <c r="AJ87" s="299"/>
      <c r="AK87" s="299"/>
      <c r="AL87" s="299"/>
      <c r="AM87" s="299"/>
      <c r="AN87" s="299"/>
      <c r="AO87" s="299"/>
      <c r="AP87" s="299"/>
      <c r="AQ87" s="299"/>
      <c r="AR87" s="299"/>
      <c r="AS87" s="299"/>
      <c r="AT87" s="299"/>
    </row>
    <row r="88" spans="1:46" s="10" customFormat="1" ht="17.100000000000001" customHeight="1" x14ac:dyDescent="0.3">
      <c r="A88" s="23"/>
      <c r="B88" s="353" t="s">
        <v>125</v>
      </c>
      <c r="C88" s="354"/>
      <c r="D88" s="354"/>
      <c r="E88" s="354"/>
      <c r="F88" s="354"/>
      <c r="G88" s="354"/>
      <c r="H88" s="354"/>
      <c r="I88" s="354"/>
      <c r="J88" s="355"/>
      <c r="K88" s="63"/>
      <c r="L88" s="64"/>
      <c r="M88" s="64"/>
      <c r="N88" s="64"/>
      <c r="O88" s="64"/>
      <c r="P88" s="65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350">
        <f>AC89+AC94+AC95</f>
        <v>100000</v>
      </c>
      <c r="AD88" s="351"/>
      <c r="AE88" s="351"/>
      <c r="AF88" s="351"/>
      <c r="AG88" s="351"/>
      <c r="AH88" s="352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</row>
    <row r="89" spans="1:46" s="10" customFormat="1" ht="17.100000000000001" customHeight="1" x14ac:dyDescent="0.3">
      <c r="A89" s="11"/>
      <c r="B89" s="12"/>
      <c r="C89" s="294" t="s">
        <v>312</v>
      </c>
      <c r="D89" s="295"/>
      <c r="E89" s="295"/>
      <c r="F89" s="295"/>
      <c r="G89" s="295"/>
      <c r="H89" s="295"/>
      <c r="I89" s="295"/>
      <c r="J89" s="296"/>
      <c r="K89" s="367" t="s">
        <v>365</v>
      </c>
      <c r="L89" s="368"/>
      <c r="M89" s="368"/>
      <c r="N89" s="368"/>
      <c r="O89" s="368"/>
      <c r="P89" s="369"/>
      <c r="Q89" s="370"/>
      <c r="R89" s="371"/>
      <c r="S89" s="371"/>
      <c r="T89" s="371"/>
      <c r="U89" s="368"/>
      <c r="V89" s="368"/>
      <c r="W89" s="92"/>
      <c r="X89" s="368"/>
      <c r="Y89" s="368"/>
      <c r="Z89" s="92"/>
      <c r="AA89" s="368"/>
      <c r="AB89" s="369"/>
      <c r="AC89" s="372">
        <f>IF(예산Balnace!$M$45&gt;2400000,"2400000",예산Balnace!$M$45)</f>
        <v>100000</v>
      </c>
      <c r="AD89" s="373"/>
      <c r="AE89" s="373"/>
      <c r="AF89" s="373"/>
      <c r="AG89" s="373"/>
      <c r="AH89" s="374"/>
      <c r="AI89" s="299" t="str">
        <f>CONCATENATE(K89,Q89,U89,W89,X89,Z89,AA89,AC89)</f>
        <v>프로그램 사업비 소계100000</v>
      </c>
      <c r="AJ89" s="299"/>
      <c r="AK89" s="299"/>
      <c r="AL89" s="299"/>
      <c r="AM89" s="299"/>
      <c r="AN89" s="299"/>
      <c r="AO89" s="299"/>
      <c r="AP89" s="299"/>
      <c r="AQ89" s="299"/>
      <c r="AR89" s="299"/>
      <c r="AS89" s="299"/>
      <c r="AT89" s="299"/>
    </row>
    <row r="90" spans="1:46" s="10" customFormat="1" ht="17.100000000000001" hidden="1" customHeight="1" x14ac:dyDescent="0.3">
      <c r="A90" s="11"/>
      <c r="B90" s="12"/>
      <c r="C90" s="11"/>
      <c r="D90" s="15"/>
      <c r="E90" s="15"/>
      <c r="F90" s="15"/>
      <c r="G90" s="15"/>
      <c r="H90" s="15"/>
      <c r="I90" s="15"/>
      <c r="J90" s="16"/>
      <c r="K90" s="285" t="s">
        <v>358</v>
      </c>
      <c r="L90" s="263"/>
      <c r="M90" s="263"/>
      <c r="N90" s="263"/>
      <c r="O90" s="263"/>
      <c r="P90" s="286"/>
      <c r="Q90" s="298"/>
      <c r="R90" s="298"/>
      <c r="S90" s="298"/>
      <c r="T90" s="298"/>
      <c r="U90" s="263" t="s">
        <v>379</v>
      </c>
      <c r="V90" s="263"/>
      <c r="W90" s="17">
        <f>예산서사전준비!$D$3</f>
        <v>6</v>
      </c>
      <c r="X90" s="263" t="s">
        <v>418</v>
      </c>
      <c r="Y90" s="263"/>
      <c r="Z90" s="17"/>
      <c r="AA90" s="263"/>
      <c r="AB90" s="263"/>
      <c r="AC90" s="306"/>
      <c r="AD90" s="298"/>
      <c r="AE90" s="298"/>
      <c r="AF90" s="298"/>
      <c r="AG90" s="298"/>
      <c r="AH90" s="307"/>
      <c r="AI90" s="299" t="str">
        <f>CONCATENATE(K90,Q90,U90,W90,X90,Z90,AA90,AC90)</f>
        <v>외부강사비(신체)원×6월 =</v>
      </c>
      <c r="AJ90" s="299"/>
      <c r="AK90" s="299"/>
      <c r="AL90" s="299"/>
      <c r="AM90" s="299"/>
      <c r="AN90" s="299"/>
      <c r="AO90" s="299"/>
      <c r="AP90" s="299"/>
      <c r="AQ90" s="299"/>
      <c r="AR90" s="299"/>
      <c r="AS90" s="299"/>
      <c r="AT90" s="299"/>
    </row>
    <row r="91" spans="1:46" s="10" customFormat="1" ht="17.100000000000001" hidden="1" customHeight="1" x14ac:dyDescent="0.3">
      <c r="A91" s="11"/>
      <c r="B91" s="12"/>
      <c r="C91" s="11"/>
      <c r="D91" s="15"/>
      <c r="E91" s="15"/>
      <c r="F91" s="15"/>
      <c r="G91" s="15"/>
      <c r="H91" s="15"/>
      <c r="I91" s="15"/>
      <c r="J91" s="16"/>
      <c r="K91" s="285" t="s">
        <v>362</v>
      </c>
      <c r="L91" s="263"/>
      <c r="M91" s="263"/>
      <c r="N91" s="263"/>
      <c r="O91" s="263"/>
      <c r="P91" s="286"/>
      <c r="Q91" s="298"/>
      <c r="R91" s="298"/>
      <c r="S91" s="298"/>
      <c r="T91" s="298"/>
      <c r="U91" s="263" t="s">
        <v>379</v>
      </c>
      <c r="V91" s="263"/>
      <c r="W91" s="17">
        <f>예산서사전준비!$D$3</f>
        <v>6</v>
      </c>
      <c r="X91" s="263" t="s">
        <v>418</v>
      </c>
      <c r="Y91" s="263"/>
      <c r="Z91" s="17"/>
      <c r="AA91" s="263"/>
      <c r="AB91" s="263"/>
      <c r="AC91" s="306"/>
      <c r="AD91" s="298"/>
      <c r="AE91" s="298"/>
      <c r="AF91" s="298"/>
      <c r="AG91" s="298"/>
      <c r="AH91" s="307"/>
      <c r="AI91" s="299" t="str">
        <f t="shared" ref="AI91:AI93" si="16">CONCATENATE(K91,Q91,U91,W91,X91,Z91,AA91,AC91)</f>
        <v>외부강사비(인지)원×6월 =</v>
      </c>
      <c r="AJ91" s="299"/>
      <c r="AK91" s="299"/>
      <c r="AL91" s="299"/>
      <c r="AM91" s="299"/>
      <c r="AN91" s="299"/>
      <c r="AO91" s="299"/>
      <c r="AP91" s="299"/>
      <c r="AQ91" s="299"/>
      <c r="AR91" s="299"/>
      <c r="AS91" s="299"/>
      <c r="AT91" s="299"/>
    </row>
    <row r="92" spans="1:46" s="10" customFormat="1" ht="17.100000000000001" hidden="1" customHeight="1" x14ac:dyDescent="0.3">
      <c r="A92" s="11"/>
      <c r="B92" s="12"/>
      <c r="C92" s="11"/>
      <c r="D92" s="15"/>
      <c r="E92" s="15"/>
      <c r="F92" s="15"/>
      <c r="G92" s="15"/>
      <c r="H92" s="15"/>
      <c r="I92" s="15"/>
      <c r="J92" s="16"/>
      <c r="K92" s="285" t="s">
        <v>436</v>
      </c>
      <c r="L92" s="263"/>
      <c r="M92" s="263"/>
      <c r="N92" s="263"/>
      <c r="O92" s="263"/>
      <c r="P92" s="286"/>
      <c r="Q92" s="298"/>
      <c r="R92" s="298"/>
      <c r="S92" s="298"/>
      <c r="T92" s="298"/>
      <c r="U92" s="263" t="s">
        <v>379</v>
      </c>
      <c r="V92" s="263"/>
      <c r="W92" s="17">
        <f>예산서사전준비!$D$3</f>
        <v>6</v>
      </c>
      <c r="X92" s="263" t="s">
        <v>418</v>
      </c>
      <c r="Y92" s="263"/>
      <c r="Z92" s="17"/>
      <c r="AA92" s="263"/>
      <c r="AB92" s="263"/>
      <c r="AC92" s="306"/>
      <c r="AD92" s="298"/>
      <c r="AE92" s="298"/>
      <c r="AF92" s="298"/>
      <c r="AG92" s="298"/>
      <c r="AH92" s="307"/>
      <c r="AI92" s="299" t="str">
        <f t="shared" si="16"/>
        <v>행사비원×6월 =</v>
      </c>
      <c r="AJ92" s="299"/>
      <c r="AK92" s="299"/>
      <c r="AL92" s="299"/>
      <c r="AM92" s="299"/>
      <c r="AN92" s="299"/>
      <c r="AO92" s="299"/>
      <c r="AP92" s="299"/>
      <c r="AQ92" s="299"/>
      <c r="AR92" s="299"/>
      <c r="AS92" s="299"/>
      <c r="AT92" s="299"/>
    </row>
    <row r="93" spans="1:46" s="10" customFormat="1" ht="17.100000000000001" customHeight="1" x14ac:dyDescent="0.3">
      <c r="A93" s="18"/>
      <c r="B93" s="21"/>
      <c r="C93" s="18"/>
      <c r="D93" s="19"/>
      <c r="E93" s="19"/>
      <c r="F93" s="19"/>
      <c r="G93" s="19"/>
      <c r="H93" s="19"/>
      <c r="I93" s="19"/>
      <c r="J93" s="20"/>
      <c r="K93" s="282" t="s">
        <v>375</v>
      </c>
      <c r="L93" s="283"/>
      <c r="M93" s="283"/>
      <c r="N93" s="283"/>
      <c r="O93" s="283"/>
      <c r="P93" s="284"/>
      <c r="Q93" s="298">
        <f>ROUND(AC93/W93,-0.1)</f>
        <v>33333</v>
      </c>
      <c r="R93" s="298"/>
      <c r="S93" s="298"/>
      <c r="T93" s="298"/>
      <c r="U93" s="283" t="s">
        <v>379</v>
      </c>
      <c r="V93" s="283"/>
      <c r="W93" s="37">
        <v>3</v>
      </c>
      <c r="X93" s="283" t="s">
        <v>418</v>
      </c>
      <c r="Y93" s="283"/>
      <c r="Z93" s="37"/>
      <c r="AA93" s="283"/>
      <c r="AB93" s="283"/>
      <c r="AC93" s="306">
        <f>AC89</f>
        <v>100000</v>
      </c>
      <c r="AD93" s="298"/>
      <c r="AE93" s="298"/>
      <c r="AF93" s="298"/>
      <c r="AG93" s="298"/>
      <c r="AH93" s="307"/>
      <c r="AI93" s="299" t="str">
        <f t="shared" si="16"/>
        <v>프로그램 재료비33333원×3월 =100000</v>
      </c>
      <c r="AJ93" s="299"/>
      <c r="AK93" s="299"/>
      <c r="AL93" s="299"/>
      <c r="AM93" s="299"/>
      <c r="AN93" s="299"/>
      <c r="AO93" s="299"/>
      <c r="AP93" s="299"/>
      <c r="AQ93" s="299"/>
      <c r="AR93" s="299"/>
      <c r="AS93" s="299"/>
      <c r="AT93" s="299"/>
    </row>
    <row r="94" spans="1:46" s="10" customFormat="1" ht="17.100000000000001" hidden="1" customHeight="1" x14ac:dyDescent="0.3">
      <c r="A94" s="23"/>
      <c r="B94" s="353" t="s">
        <v>288</v>
      </c>
      <c r="C94" s="354"/>
      <c r="D94" s="354"/>
      <c r="E94" s="354"/>
      <c r="F94" s="354"/>
      <c r="G94" s="354"/>
      <c r="H94" s="354"/>
      <c r="I94" s="354"/>
      <c r="J94" s="355"/>
      <c r="K94" s="63"/>
      <c r="L94" s="64"/>
      <c r="M94" s="64"/>
      <c r="N94" s="64"/>
      <c r="O94" s="64"/>
      <c r="P94" s="65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350">
        <f>AC95+AC119+AC120</f>
        <v>0</v>
      </c>
      <c r="AD94" s="351"/>
      <c r="AE94" s="351"/>
      <c r="AF94" s="351"/>
      <c r="AG94" s="351"/>
      <c r="AH94" s="352"/>
    </row>
    <row r="95" spans="1:46" s="10" customFormat="1" ht="17.100000000000001" hidden="1" customHeight="1" x14ac:dyDescent="0.3">
      <c r="A95" s="11"/>
      <c r="B95" s="34"/>
      <c r="C95" s="272" t="s">
        <v>273</v>
      </c>
      <c r="D95" s="273"/>
      <c r="E95" s="273"/>
      <c r="F95" s="273"/>
      <c r="G95" s="273"/>
      <c r="H95" s="273"/>
      <c r="I95" s="273"/>
      <c r="J95" s="274"/>
      <c r="K95" s="282" t="s">
        <v>301</v>
      </c>
      <c r="L95" s="283"/>
      <c r="M95" s="283"/>
      <c r="N95" s="283"/>
      <c r="O95" s="283"/>
      <c r="P95" s="284"/>
      <c r="Q95" s="275">
        <f>예산서사전준비!$G$45</f>
        <v>0</v>
      </c>
      <c r="R95" s="276"/>
      <c r="S95" s="276"/>
      <c r="T95" s="276"/>
      <c r="U95" s="273" t="s">
        <v>379</v>
      </c>
      <c r="V95" s="273"/>
      <c r="W95" s="22">
        <f>예산서사전준비!$D$3</f>
        <v>6</v>
      </c>
      <c r="X95" s="273" t="s">
        <v>418</v>
      </c>
      <c r="Y95" s="273"/>
      <c r="Z95" s="22"/>
      <c r="AA95" s="273"/>
      <c r="AB95" s="274"/>
      <c r="AC95" s="275">
        <f>ROUNDUP(Q95*W95,-1)</f>
        <v>0</v>
      </c>
      <c r="AD95" s="276"/>
      <c r="AE95" s="276"/>
      <c r="AF95" s="276"/>
      <c r="AG95" s="276"/>
      <c r="AH95" s="301"/>
      <c r="AI95" s="299" t="str">
        <f t="shared" ref="AI95:AI96" si="17">CONCATENATE(K95,Q95,U95,W95,X95,Z95,AA95,AC95)</f>
        <v>대여용구 취득  0원×6월 =0</v>
      </c>
      <c r="AJ95" s="299"/>
      <c r="AK95" s="299"/>
      <c r="AL95" s="299"/>
      <c r="AM95" s="299"/>
      <c r="AN95" s="299"/>
      <c r="AO95" s="299"/>
      <c r="AP95" s="299"/>
      <c r="AQ95" s="299"/>
      <c r="AR95" s="299"/>
      <c r="AS95" s="299"/>
      <c r="AT95" s="299"/>
    </row>
    <row r="96" spans="1:46" s="10" customFormat="1" ht="17.100000000000001" hidden="1" customHeight="1" x14ac:dyDescent="0.3">
      <c r="A96" s="18"/>
      <c r="B96" s="35"/>
      <c r="C96" s="272" t="s">
        <v>286</v>
      </c>
      <c r="D96" s="273"/>
      <c r="E96" s="273"/>
      <c r="F96" s="273"/>
      <c r="G96" s="273"/>
      <c r="H96" s="273"/>
      <c r="I96" s="273"/>
      <c r="J96" s="274"/>
      <c r="K96" s="272" t="s">
        <v>290</v>
      </c>
      <c r="L96" s="273"/>
      <c r="M96" s="273"/>
      <c r="N96" s="273"/>
      <c r="O96" s="273"/>
      <c r="P96" s="274"/>
      <c r="Q96" s="297">
        <f>예산서사전준비!$H$45</f>
        <v>0</v>
      </c>
      <c r="R96" s="297"/>
      <c r="S96" s="297"/>
      <c r="T96" s="297"/>
      <c r="U96" s="283" t="s">
        <v>379</v>
      </c>
      <c r="V96" s="283"/>
      <c r="W96" s="17">
        <f>예산서사전준비!$D$3</f>
        <v>6</v>
      </c>
      <c r="X96" s="283" t="s">
        <v>418</v>
      </c>
      <c r="Y96" s="283"/>
      <c r="Z96" s="37"/>
      <c r="AA96" s="283"/>
      <c r="AB96" s="283"/>
      <c r="AC96" s="304">
        <f>ROUNDUP(Q96*W96,-1)</f>
        <v>0</v>
      </c>
      <c r="AD96" s="297"/>
      <c r="AE96" s="297"/>
      <c r="AF96" s="297"/>
      <c r="AG96" s="297"/>
      <c r="AH96" s="305"/>
      <c r="AI96" s="299" t="str">
        <f t="shared" si="17"/>
        <v>판매용구 취득  0원×6월 =0</v>
      </c>
      <c r="AJ96" s="299"/>
      <c r="AK96" s="299"/>
      <c r="AL96" s="299"/>
      <c r="AM96" s="299"/>
      <c r="AN96" s="299"/>
      <c r="AO96" s="299"/>
      <c r="AP96" s="299"/>
      <c r="AQ96" s="299"/>
      <c r="AR96" s="299"/>
      <c r="AS96" s="299"/>
      <c r="AT96" s="299"/>
    </row>
    <row r="97" spans="1:46" s="10" customFormat="1" ht="17.100000000000001" hidden="1" customHeight="1" x14ac:dyDescent="0.3">
      <c r="A97" s="277" t="s">
        <v>142</v>
      </c>
      <c r="B97" s="278"/>
      <c r="C97" s="278"/>
      <c r="D97" s="278"/>
      <c r="E97" s="278"/>
      <c r="F97" s="278"/>
      <c r="G97" s="278"/>
      <c r="H97" s="278"/>
      <c r="I97" s="278"/>
      <c r="J97" s="278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302">
        <f>AC98</f>
        <v>0</v>
      </c>
      <c r="AD97" s="302"/>
      <c r="AE97" s="302"/>
      <c r="AF97" s="302"/>
      <c r="AG97" s="302"/>
      <c r="AH97" s="303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</row>
    <row r="98" spans="1:46" s="10" customFormat="1" ht="17.100000000000001" hidden="1" customHeight="1" x14ac:dyDescent="0.3">
      <c r="A98" s="11"/>
      <c r="B98" s="353" t="s">
        <v>180</v>
      </c>
      <c r="C98" s="354"/>
      <c r="D98" s="354"/>
      <c r="E98" s="354"/>
      <c r="F98" s="354"/>
      <c r="G98" s="354"/>
      <c r="H98" s="354"/>
      <c r="I98" s="354"/>
      <c r="J98" s="355"/>
      <c r="K98" s="353"/>
      <c r="L98" s="354"/>
      <c r="M98" s="354"/>
      <c r="N98" s="354"/>
      <c r="O98" s="354"/>
      <c r="P98" s="355"/>
      <c r="Q98" s="354"/>
      <c r="R98" s="354"/>
      <c r="S98" s="354"/>
      <c r="T98" s="354"/>
      <c r="U98" s="354"/>
      <c r="V98" s="354"/>
      <c r="W98" s="27"/>
      <c r="X98" s="354"/>
      <c r="Y98" s="354"/>
      <c r="Z98" s="27"/>
      <c r="AA98" s="354"/>
      <c r="AB98" s="354"/>
      <c r="AC98" s="361">
        <f>SUM(AC99:AH100)</f>
        <v>0</v>
      </c>
      <c r="AD98" s="362"/>
      <c r="AE98" s="362"/>
      <c r="AF98" s="362"/>
      <c r="AG98" s="362"/>
      <c r="AH98" s="363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</row>
    <row r="99" spans="1:46" s="10" customFormat="1" ht="17.100000000000001" hidden="1" customHeight="1" x14ac:dyDescent="0.3">
      <c r="A99" s="11"/>
      <c r="B99" s="34"/>
      <c r="C99" s="272" t="s">
        <v>287</v>
      </c>
      <c r="D99" s="273"/>
      <c r="E99" s="273"/>
      <c r="F99" s="273"/>
      <c r="G99" s="273"/>
      <c r="H99" s="273"/>
      <c r="I99" s="273"/>
      <c r="J99" s="274"/>
      <c r="K99" s="272" t="s">
        <v>309</v>
      </c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73"/>
      <c r="AB99" s="274"/>
      <c r="AC99" s="275">
        <v>0</v>
      </c>
      <c r="AD99" s="276"/>
      <c r="AE99" s="276"/>
      <c r="AF99" s="276"/>
      <c r="AG99" s="276"/>
      <c r="AH99" s="301"/>
      <c r="AI99" s="299" t="str">
        <f>CONCATENATE(K99,Q99,U99,W99,X99,Z99,AA99,AC99)</f>
        <v>법인으로의 전출금  0</v>
      </c>
      <c r="AJ99" s="299"/>
      <c r="AK99" s="299"/>
      <c r="AL99" s="299"/>
      <c r="AM99" s="299"/>
      <c r="AN99" s="299"/>
      <c r="AO99" s="299"/>
      <c r="AP99" s="299"/>
      <c r="AQ99" s="299"/>
      <c r="AR99" s="299"/>
      <c r="AS99" s="299"/>
      <c r="AT99" s="299"/>
    </row>
    <row r="100" spans="1:46" s="10" customFormat="1" ht="17.100000000000001" hidden="1" customHeight="1" x14ac:dyDescent="0.3">
      <c r="A100" s="18"/>
      <c r="B100" s="35"/>
      <c r="C100" s="272" t="s">
        <v>308</v>
      </c>
      <c r="D100" s="273"/>
      <c r="E100" s="273"/>
      <c r="F100" s="273"/>
      <c r="G100" s="273"/>
      <c r="H100" s="273"/>
      <c r="I100" s="273"/>
      <c r="J100" s="274"/>
      <c r="K100" s="272" t="s">
        <v>302</v>
      </c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  <c r="AA100" s="273"/>
      <c r="AB100" s="274"/>
      <c r="AC100" s="275">
        <f>예산Balnace!$M$48</f>
        <v>0</v>
      </c>
      <c r="AD100" s="276"/>
      <c r="AE100" s="276"/>
      <c r="AF100" s="276"/>
      <c r="AG100" s="276"/>
      <c r="AH100" s="301"/>
      <c r="AI100" s="299" t="str">
        <f>CONCATENATE(K100,Q100,U100,W100,X100,Z100,AA100,AC100)</f>
        <v>대표자로의 전출금  0</v>
      </c>
      <c r="AJ100" s="299"/>
      <c r="AK100" s="299"/>
      <c r="AL100" s="299"/>
      <c r="AM100" s="299"/>
      <c r="AN100" s="299"/>
      <c r="AO100" s="299"/>
      <c r="AP100" s="299"/>
      <c r="AQ100" s="299"/>
      <c r="AR100" s="299"/>
      <c r="AS100" s="299"/>
      <c r="AT100" s="299"/>
    </row>
    <row r="101" spans="1:46" s="10" customFormat="1" ht="17.100000000000001" hidden="1" customHeight="1" x14ac:dyDescent="0.3">
      <c r="A101" s="277" t="s">
        <v>317</v>
      </c>
      <c r="B101" s="278"/>
      <c r="C101" s="278"/>
      <c r="D101" s="278"/>
      <c r="E101" s="278"/>
      <c r="F101" s="278"/>
      <c r="G101" s="278"/>
      <c r="H101" s="278"/>
      <c r="I101" s="278"/>
      <c r="J101" s="278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302">
        <f>AC102</f>
        <v>0</v>
      </c>
      <c r="AD101" s="302"/>
      <c r="AE101" s="302"/>
      <c r="AF101" s="302"/>
      <c r="AG101" s="302"/>
      <c r="AH101" s="303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</row>
    <row r="102" spans="1:46" s="10" customFormat="1" ht="17.100000000000001" hidden="1" customHeight="1" x14ac:dyDescent="0.3">
      <c r="A102" s="11"/>
      <c r="B102" s="353" t="s">
        <v>314</v>
      </c>
      <c r="C102" s="354"/>
      <c r="D102" s="354"/>
      <c r="E102" s="354"/>
      <c r="F102" s="354"/>
      <c r="G102" s="354"/>
      <c r="H102" s="354"/>
      <c r="I102" s="354"/>
      <c r="J102" s="355"/>
      <c r="K102" s="353"/>
      <c r="L102" s="354"/>
      <c r="M102" s="354"/>
      <c r="N102" s="354"/>
      <c r="O102" s="354"/>
      <c r="P102" s="355"/>
      <c r="Q102" s="354"/>
      <c r="R102" s="354"/>
      <c r="S102" s="354"/>
      <c r="T102" s="354"/>
      <c r="U102" s="354"/>
      <c r="V102" s="354"/>
      <c r="W102" s="27"/>
      <c r="X102" s="354"/>
      <c r="Y102" s="354"/>
      <c r="Z102" s="27"/>
      <c r="AA102" s="354"/>
      <c r="AB102" s="354"/>
      <c r="AC102" s="361">
        <f>SUM(AC103:AH103)</f>
        <v>0</v>
      </c>
      <c r="AD102" s="362"/>
      <c r="AE102" s="362"/>
      <c r="AF102" s="362"/>
      <c r="AG102" s="362"/>
      <c r="AH102" s="363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</row>
    <row r="103" spans="1:46" s="10" customFormat="1" ht="17.100000000000001" hidden="1" customHeight="1" x14ac:dyDescent="0.3">
      <c r="A103" s="11"/>
      <c r="B103" s="34"/>
      <c r="C103" s="272" t="s">
        <v>315</v>
      </c>
      <c r="D103" s="273"/>
      <c r="E103" s="273"/>
      <c r="F103" s="273"/>
      <c r="G103" s="273"/>
      <c r="H103" s="273"/>
      <c r="I103" s="273"/>
      <c r="J103" s="274"/>
      <c r="K103" s="272" t="s">
        <v>479</v>
      </c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  <c r="AA103" s="273"/>
      <c r="AB103" s="274"/>
      <c r="AC103" s="275">
        <v>0</v>
      </c>
      <c r="AD103" s="276"/>
      <c r="AE103" s="276"/>
      <c r="AF103" s="276"/>
      <c r="AG103" s="276"/>
      <c r="AH103" s="301"/>
      <c r="AI103" s="299" t="str">
        <f>CONCATENATE(K103,Q103,U103,W103,X103,Z103,AA103,AC103)</f>
        <v>과년도 미지급금 및 과년도사업비의 지출  0</v>
      </c>
      <c r="AJ103" s="299"/>
      <c r="AK103" s="299"/>
      <c r="AL103" s="299"/>
      <c r="AM103" s="299"/>
      <c r="AN103" s="299"/>
      <c r="AO103" s="299"/>
      <c r="AP103" s="299"/>
      <c r="AQ103" s="299"/>
      <c r="AR103" s="299"/>
      <c r="AS103" s="299"/>
      <c r="AT103" s="299"/>
    </row>
    <row r="104" spans="1:46" s="10" customFormat="1" ht="17.100000000000001" hidden="1" customHeight="1" x14ac:dyDescent="0.3">
      <c r="A104" s="277" t="s">
        <v>153</v>
      </c>
      <c r="B104" s="278"/>
      <c r="C104" s="278"/>
      <c r="D104" s="278"/>
      <c r="E104" s="278"/>
      <c r="F104" s="278"/>
      <c r="G104" s="278"/>
      <c r="H104" s="278"/>
      <c r="I104" s="278"/>
      <c r="J104" s="278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302">
        <f>AC105</f>
        <v>0</v>
      </c>
      <c r="AD104" s="302"/>
      <c r="AE104" s="302"/>
      <c r="AF104" s="302"/>
      <c r="AG104" s="302"/>
      <c r="AH104" s="303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</row>
    <row r="105" spans="1:46" s="10" customFormat="1" ht="17.100000000000001" hidden="1" customHeight="1" x14ac:dyDescent="0.3">
      <c r="A105" s="11"/>
      <c r="B105" s="353" t="s">
        <v>305</v>
      </c>
      <c r="C105" s="354"/>
      <c r="D105" s="354"/>
      <c r="E105" s="354"/>
      <c r="F105" s="354"/>
      <c r="G105" s="354"/>
      <c r="H105" s="354"/>
      <c r="I105" s="354"/>
      <c r="J105" s="355"/>
      <c r="K105" s="353"/>
      <c r="L105" s="354"/>
      <c r="M105" s="354"/>
      <c r="N105" s="354"/>
      <c r="O105" s="354"/>
      <c r="P105" s="355"/>
      <c r="Q105" s="354"/>
      <c r="R105" s="354"/>
      <c r="S105" s="354"/>
      <c r="T105" s="354"/>
      <c r="U105" s="354"/>
      <c r="V105" s="354"/>
      <c r="W105" s="27"/>
      <c r="X105" s="354"/>
      <c r="Y105" s="354"/>
      <c r="Z105" s="27"/>
      <c r="AA105" s="354"/>
      <c r="AB105" s="354"/>
      <c r="AC105" s="361">
        <f>SUM(AC106:AH107)</f>
        <v>0</v>
      </c>
      <c r="AD105" s="362"/>
      <c r="AE105" s="362"/>
      <c r="AF105" s="362"/>
      <c r="AG105" s="362"/>
      <c r="AH105" s="363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</row>
    <row r="106" spans="1:46" s="10" customFormat="1" ht="17.100000000000001" hidden="1" customHeight="1" x14ac:dyDescent="0.3">
      <c r="A106" s="11"/>
      <c r="B106" s="34"/>
      <c r="C106" s="272" t="s">
        <v>289</v>
      </c>
      <c r="D106" s="273"/>
      <c r="E106" s="273"/>
      <c r="F106" s="273"/>
      <c r="G106" s="273"/>
      <c r="H106" s="273"/>
      <c r="I106" s="273"/>
      <c r="J106" s="274"/>
      <c r="K106" s="272" t="s">
        <v>307</v>
      </c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  <c r="AA106" s="273"/>
      <c r="AB106" s="274"/>
      <c r="AC106" s="275">
        <f>ROUNDUP(예산서사전준비!$C$33*12,-4)</f>
        <v>0</v>
      </c>
      <c r="AD106" s="276"/>
      <c r="AE106" s="276"/>
      <c r="AF106" s="276"/>
      <c r="AG106" s="276"/>
      <c r="AH106" s="301"/>
      <c r="AI106" s="299" t="str">
        <f>CONCATENATE(K106,Q106,U106,W106,X106,Z106,AA106,AC106)</f>
        <v>차입금 원금상환금  0</v>
      </c>
      <c r="AJ106" s="299"/>
      <c r="AK106" s="299"/>
      <c r="AL106" s="299"/>
      <c r="AM106" s="299"/>
      <c r="AN106" s="299"/>
      <c r="AO106" s="299"/>
      <c r="AP106" s="299"/>
      <c r="AQ106" s="299"/>
      <c r="AR106" s="299"/>
      <c r="AS106" s="299"/>
      <c r="AT106" s="299"/>
    </row>
    <row r="107" spans="1:46" s="10" customFormat="1" ht="17.100000000000001" hidden="1" customHeight="1" x14ac:dyDescent="0.3">
      <c r="A107" s="18"/>
      <c r="B107" s="35"/>
      <c r="C107" s="272" t="s">
        <v>306</v>
      </c>
      <c r="D107" s="273"/>
      <c r="E107" s="273"/>
      <c r="F107" s="273"/>
      <c r="G107" s="273"/>
      <c r="H107" s="273"/>
      <c r="I107" s="273"/>
      <c r="J107" s="274"/>
      <c r="K107" s="272" t="s">
        <v>313</v>
      </c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  <c r="AA107" s="273"/>
      <c r="AB107" s="274"/>
      <c r="AC107" s="275">
        <f>ROUNDUP(예산서사전준비!$E$33*12,-4)</f>
        <v>0</v>
      </c>
      <c r="AD107" s="276"/>
      <c r="AE107" s="276"/>
      <c r="AF107" s="276"/>
      <c r="AG107" s="276"/>
      <c r="AH107" s="301"/>
      <c r="AI107" s="299" t="str">
        <f>CONCATENATE(K107,Q107,U107,W107,X107,Z107,AA107,AC107)</f>
        <v>차입금 이자지급금  0</v>
      </c>
      <c r="AJ107" s="299"/>
      <c r="AK107" s="299"/>
      <c r="AL107" s="299"/>
      <c r="AM107" s="299"/>
      <c r="AN107" s="299"/>
      <c r="AO107" s="299"/>
      <c r="AP107" s="299"/>
      <c r="AQ107" s="299"/>
      <c r="AR107" s="299"/>
      <c r="AS107" s="299"/>
      <c r="AT107" s="299"/>
    </row>
    <row r="108" spans="1:46" s="10" customFormat="1" ht="17.100000000000001" customHeight="1" x14ac:dyDescent="0.3">
      <c r="A108" s="277" t="s">
        <v>165</v>
      </c>
      <c r="B108" s="278"/>
      <c r="C108" s="278"/>
      <c r="D108" s="278"/>
      <c r="E108" s="278"/>
      <c r="F108" s="278"/>
      <c r="G108" s="278"/>
      <c r="H108" s="278"/>
      <c r="I108" s="278"/>
      <c r="J108" s="278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302">
        <f>AC109</f>
        <v>347420</v>
      </c>
      <c r="AD108" s="302"/>
      <c r="AE108" s="302"/>
      <c r="AF108" s="302"/>
      <c r="AG108" s="302"/>
      <c r="AH108" s="303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</row>
    <row r="109" spans="1:46" s="10" customFormat="1" ht="17.100000000000001" customHeight="1" x14ac:dyDescent="0.3">
      <c r="A109" s="11"/>
      <c r="B109" s="353" t="s">
        <v>127</v>
      </c>
      <c r="C109" s="354"/>
      <c r="D109" s="354"/>
      <c r="E109" s="354"/>
      <c r="F109" s="354"/>
      <c r="G109" s="354"/>
      <c r="H109" s="354"/>
      <c r="I109" s="354"/>
      <c r="J109" s="355"/>
      <c r="K109" s="353"/>
      <c r="L109" s="354"/>
      <c r="M109" s="354"/>
      <c r="N109" s="354"/>
      <c r="O109" s="354"/>
      <c r="P109" s="355"/>
      <c r="Q109" s="354"/>
      <c r="R109" s="354"/>
      <c r="S109" s="354"/>
      <c r="T109" s="354"/>
      <c r="U109" s="354"/>
      <c r="V109" s="354"/>
      <c r="W109" s="27"/>
      <c r="X109" s="354"/>
      <c r="Y109" s="354"/>
      <c r="Z109" s="27"/>
      <c r="AA109" s="354"/>
      <c r="AB109" s="354"/>
      <c r="AC109" s="361">
        <f>SUM(AC110:AH110)</f>
        <v>347420</v>
      </c>
      <c r="AD109" s="362"/>
      <c r="AE109" s="362"/>
      <c r="AF109" s="362"/>
      <c r="AG109" s="362"/>
      <c r="AH109" s="363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</row>
    <row r="110" spans="1:46" s="10" customFormat="1" ht="17.100000000000001" customHeight="1" x14ac:dyDescent="0.3">
      <c r="A110" s="18"/>
      <c r="B110" s="35"/>
      <c r="C110" s="272" t="s">
        <v>172</v>
      </c>
      <c r="D110" s="273"/>
      <c r="E110" s="273"/>
      <c r="F110" s="273"/>
      <c r="G110" s="273"/>
      <c r="H110" s="273"/>
      <c r="I110" s="273"/>
      <c r="J110" s="274"/>
      <c r="K110" s="272" t="s">
        <v>488</v>
      </c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  <c r="AA110" s="273"/>
      <c r="AB110" s="274"/>
      <c r="AC110" s="358">
        <v>347420</v>
      </c>
      <c r="AD110" s="359"/>
      <c r="AE110" s="359"/>
      <c r="AF110" s="359"/>
      <c r="AG110" s="359"/>
      <c r="AH110" s="360"/>
      <c r="AI110" s="299" t="str">
        <f>CONCATENATE(K110,Q110,U110,W110,X110,Z110,AA110,AC110)</f>
        <v>센터가 지출하는 보상금, 사례금, 소송경비 등  347420</v>
      </c>
      <c r="AJ110" s="299"/>
      <c r="AK110" s="299"/>
      <c r="AL110" s="299"/>
      <c r="AM110" s="299"/>
      <c r="AN110" s="299"/>
      <c r="AO110" s="299"/>
      <c r="AP110" s="299"/>
      <c r="AQ110" s="299"/>
      <c r="AR110" s="299"/>
      <c r="AS110" s="299"/>
      <c r="AT110" s="299"/>
    </row>
    <row r="111" spans="1:46" s="10" customFormat="1" ht="17.100000000000001" hidden="1" customHeight="1" x14ac:dyDescent="0.3">
      <c r="A111" s="277" t="s">
        <v>304</v>
      </c>
      <c r="B111" s="278"/>
      <c r="C111" s="278"/>
      <c r="D111" s="278"/>
      <c r="E111" s="278"/>
      <c r="F111" s="278"/>
      <c r="G111" s="278"/>
      <c r="H111" s="278"/>
      <c r="I111" s="278"/>
      <c r="J111" s="278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302">
        <f>AC112</f>
        <v>0</v>
      </c>
      <c r="AD111" s="302"/>
      <c r="AE111" s="302"/>
      <c r="AF111" s="302"/>
      <c r="AG111" s="302"/>
      <c r="AH111" s="303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</row>
    <row r="112" spans="1:46" s="10" customFormat="1" ht="17.100000000000001" hidden="1" customHeight="1" x14ac:dyDescent="0.3">
      <c r="A112" s="11"/>
      <c r="B112" s="353" t="s">
        <v>299</v>
      </c>
      <c r="C112" s="354"/>
      <c r="D112" s="354"/>
      <c r="E112" s="354"/>
      <c r="F112" s="354"/>
      <c r="G112" s="354"/>
      <c r="H112" s="354"/>
      <c r="I112" s="354"/>
      <c r="J112" s="355"/>
      <c r="K112" s="353"/>
      <c r="L112" s="354"/>
      <c r="M112" s="354"/>
      <c r="N112" s="354"/>
      <c r="O112" s="354"/>
      <c r="P112" s="355"/>
      <c r="Q112" s="354"/>
      <c r="R112" s="354"/>
      <c r="S112" s="354"/>
      <c r="T112" s="354"/>
      <c r="U112" s="354"/>
      <c r="V112" s="354"/>
      <c r="W112" s="27"/>
      <c r="X112" s="354"/>
      <c r="Y112" s="354"/>
      <c r="Z112" s="27"/>
      <c r="AA112" s="354"/>
      <c r="AB112" s="354"/>
      <c r="AC112" s="361">
        <f>SUM(AC113:AH113)</f>
        <v>0</v>
      </c>
      <c r="AD112" s="362"/>
      <c r="AE112" s="362"/>
      <c r="AF112" s="362"/>
      <c r="AG112" s="362"/>
      <c r="AH112" s="363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</row>
    <row r="113" spans="1:46" s="10" customFormat="1" ht="17.100000000000001" hidden="1" customHeight="1" x14ac:dyDescent="0.3">
      <c r="A113" s="11"/>
      <c r="B113" s="34"/>
      <c r="C113" s="272" t="s">
        <v>184</v>
      </c>
      <c r="D113" s="273"/>
      <c r="E113" s="273"/>
      <c r="F113" s="273"/>
      <c r="G113" s="273"/>
      <c r="H113" s="273"/>
      <c r="I113" s="273"/>
      <c r="J113" s="274"/>
      <c r="K113" s="272" t="s">
        <v>152</v>
      </c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73"/>
      <c r="AB113" s="274"/>
      <c r="AC113" s="275">
        <v>0</v>
      </c>
      <c r="AD113" s="276"/>
      <c r="AE113" s="276"/>
      <c r="AF113" s="276"/>
      <c r="AG113" s="276"/>
      <c r="AH113" s="301"/>
      <c r="AI113" s="299" t="str">
        <f>CONCATENATE(K113,Q113,U113,W113,X113,Z113,AA113,AC113)</f>
        <v>예비비  0</v>
      </c>
      <c r="AJ113" s="299"/>
      <c r="AK113" s="299"/>
      <c r="AL113" s="299"/>
      <c r="AM113" s="299"/>
      <c r="AN113" s="299"/>
      <c r="AO113" s="299"/>
      <c r="AP113" s="299"/>
      <c r="AQ113" s="299"/>
      <c r="AR113" s="299"/>
      <c r="AS113" s="299"/>
      <c r="AT113" s="299"/>
    </row>
    <row r="114" spans="1:46" s="10" customFormat="1" ht="17.100000000000001" hidden="1" customHeight="1" x14ac:dyDescent="0.3">
      <c r="A114" s="18"/>
      <c r="B114" s="35"/>
      <c r="C114" s="272" t="s">
        <v>115</v>
      </c>
      <c r="D114" s="273"/>
      <c r="E114" s="273"/>
      <c r="F114" s="273"/>
      <c r="G114" s="273"/>
      <c r="H114" s="273"/>
      <c r="I114" s="273"/>
      <c r="J114" s="274"/>
      <c r="K114" s="272" t="s">
        <v>275</v>
      </c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  <c r="AA114" s="273"/>
      <c r="AB114" s="274"/>
      <c r="AC114" s="275">
        <v>0</v>
      </c>
      <c r="AD114" s="276"/>
      <c r="AE114" s="276"/>
      <c r="AF114" s="276"/>
      <c r="AG114" s="276"/>
      <c r="AH114" s="301"/>
      <c r="AI114" s="299" t="str">
        <f>CONCATENATE(K114,Q114,U114,W114,X114,Z114,AA114,AC114)</f>
        <v>정부보조금 반환금  0</v>
      </c>
      <c r="AJ114" s="299"/>
      <c r="AK114" s="299"/>
      <c r="AL114" s="299"/>
      <c r="AM114" s="299"/>
      <c r="AN114" s="299"/>
      <c r="AO114" s="299"/>
      <c r="AP114" s="299"/>
      <c r="AQ114" s="299"/>
      <c r="AR114" s="299"/>
      <c r="AS114" s="299"/>
      <c r="AT114" s="299"/>
    </row>
    <row r="115" spans="1:46" s="10" customFormat="1" ht="17.100000000000001" hidden="1" customHeight="1" x14ac:dyDescent="0.3">
      <c r="A115" s="277" t="s">
        <v>11</v>
      </c>
      <c r="B115" s="278"/>
      <c r="C115" s="278"/>
      <c r="D115" s="278"/>
      <c r="E115" s="278"/>
      <c r="F115" s="278"/>
      <c r="G115" s="278"/>
      <c r="H115" s="278"/>
      <c r="I115" s="278"/>
      <c r="J115" s="278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302">
        <f>AC116</f>
        <v>0</v>
      </c>
      <c r="AD115" s="302"/>
      <c r="AE115" s="302"/>
      <c r="AF115" s="302"/>
      <c r="AG115" s="302"/>
      <c r="AH115" s="303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</row>
    <row r="116" spans="1:46" s="10" customFormat="1" ht="17.100000000000001" hidden="1" customHeight="1" x14ac:dyDescent="0.3">
      <c r="A116" s="11"/>
      <c r="B116" s="353" t="s">
        <v>478</v>
      </c>
      <c r="C116" s="354"/>
      <c r="D116" s="354"/>
      <c r="E116" s="354"/>
      <c r="F116" s="354"/>
      <c r="G116" s="354"/>
      <c r="H116" s="354"/>
      <c r="I116" s="354"/>
      <c r="J116" s="355"/>
      <c r="K116" s="353"/>
      <c r="L116" s="354"/>
      <c r="M116" s="354"/>
      <c r="N116" s="354"/>
      <c r="O116" s="354"/>
      <c r="P116" s="355"/>
      <c r="Q116" s="356"/>
      <c r="R116" s="357"/>
      <c r="S116" s="357"/>
      <c r="T116" s="357"/>
      <c r="U116" s="357"/>
      <c r="V116" s="357"/>
      <c r="W116" s="64"/>
      <c r="X116" s="357"/>
      <c r="Y116" s="357"/>
      <c r="Z116" s="64"/>
      <c r="AA116" s="357"/>
      <c r="AB116" s="357"/>
      <c r="AC116" s="350">
        <f>SUM(AC117:AH118)</f>
        <v>0</v>
      </c>
      <c r="AD116" s="351"/>
      <c r="AE116" s="351"/>
      <c r="AF116" s="351"/>
      <c r="AG116" s="351"/>
      <c r="AH116" s="352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</row>
    <row r="117" spans="1:46" s="10" customFormat="1" ht="17.100000000000001" hidden="1" customHeight="1" x14ac:dyDescent="0.3">
      <c r="A117" s="11"/>
      <c r="B117" s="34"/>
      <c r="C117" s="272" t="s">
        <v>279</v>
      </c>
      <c r="D117" s="273"/>
      <c r="E117" s="273"/>
      <c r="F117" s="273"/>
      <c r="G117" s="273"/>
      <c r="H117" s="273"/>
      <c r="I117" s="273"/>
      <c r="J117" s="274"/>
      <c r="K117" s="272" t="s">
        <v>270</v>
      </c>
      <c r="L117" s="273"/>
      <c r="M117" s="273"/>
      <c r="N117" s="273"/>
      <c r="O117" s="273"/>
      <c r="P117" s="274"/>
      <c r="Q117" s="275"/>
      <c r="R117" s="276"/>
      <c r="S117" s="276"/>
      <c r="T117" s="276"/>
      <c r="U117" s="273" t="s">
        <v>379</v>
      </c>
      <c r="V117" s="273"/>
      <c r="W117" s="22">
        <f>예산서사전준비!$D$3</f>
        <v>6</v>
      </c>
      <c r="X117" s="273" t="s">
        <v>418</v>
      </c>
      <c r="Y117" s="273"/>
      <c r="Z117" s="22"/>
      <c r="AA117" s="273"/>
      <c r="AB117" s="274"/>
      <c r="AC117" s="275">
        <f>ROUNDUP(Q117*W117,-1)</f>
        <v>0</v>
      </c>
      <c r="AD117" s="276"/>
      <c r="AE117" s="276"/>
      <c r="AF117" s="276"/>
      <c r="AG117" s="276"/>
      <c r="AH117" s="301"/>
      <c r="AI117" s="299" t="str">
        <f t="shared" ref="AI117:AI118" si="18">CONCATENATE(K117,Q117,U117,W117,X117,Z117,AA117,AC117)</f>
        <v>운영충당적립금  원×6월 =0</v>
      </c>
      <c r="AJ117" s="299"/>
      <c r="AK117" s="299"/>
      <c r="AL117" s="299"/>
      <c r="AM117" s="299"/>
      <c r="AN117" s="299"/>
      <c r="AO117" s="299"/>
      <c r="AP117" s="299"/>
      <c r="AQ117" s="299"/>
      <c r="AR117" s="299"/>
      <c r="AS117" s="299"/>
      <c r="AT117" s="299"/>
    </row>
    <row r="118" spans="1:46" s="10" customFormat="1" ht="17.100000000000001" hidden="1" customHeight="1" x14ac:dyDescent="0.3">
      <c r="A118" s="18"/>
      <c r="B118" s="35"/>
      <c r="C118" s="272" t="s">
        <v>48</v>
      </c>
      <c r="D118" s="273"/>
      <c r="E118" s="273"/>
      <c r="F118" s="273"/>
      <c r="G118" s="273"/>
      <c r="H118" s="273"/>
      <c r="I118" s="273"/>
      <c r="J118" s="274"/>
      <c r="K118" s="272" t="s">
        <v>284</v>
      </c>
      <c r="L118" s="273"/>
      <c r="M118" s="273"/>
      <c r="N118" s="273"/>
      <c r="O118" s="273"/>
      <c r="P118" s="274"/>
      <c r="Q118" s="275"/>
      <c r="R118" s="276"/>
      <c r="S118" s="276"/>
      <c r="T118" s="276"/>
      <c r="U118" s="273" t="s">
        <v>379</v>
      </c>
      <c r="V118" s="273"/>
      <c r="W118" s="22">
        <f>예산서사전준비!$D$3</f>
        <v>6</v>
      </c>
      <c r="X118" s="273" t="s">
        <v>418</v>
      </c>
      <c r="Y118" s="273"/>
      <c r="Z118" s="22"/>
      <c r="AA118" s="273"/>
      <c r="AB118" s="274"/>
      <c r="AC118" s="275">
        <f>ROUNDUP(Q118*W118,-1)</f>
        <v>0</v>
      </c>
      <c r="AD118" s="276"/>
      <c r="AE118" s="276"/>
      <c r="AF118" s="276"/>
      <c r="AG118" s="276"/>
      <c r="AH118" s="301"/>
      <c r="AI118" s="299" t="str">
        <f t="shared" si="18"/>
        <v>환경개선준비금  원×6월 =0</v>
      </c>
      <c r="AJ118" s="299"/>
      <c r="AK118" s="299"/>
      <c r="AL118" s="299"/>
      <c r="AM118" s="299"/>
      <c r="AN118" s="299"/>
      <c r="AO118" s="299"/>
      <c r="AP118" s="299"/>
      <c r="AQ118" s="299"/>
      <c r="AR118" s="299"/>
      <c r="AS118" s="299"/>
      <c r="AT118" s="299"/>
    </row>
    <row r="119" spans="1:46" s="10" customFormat="1" ht="17.100000000000001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spans="1:46" s="10" customFormat="1" ht="17.100000000000001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46" s="10" customFormat="1" ht="17.100000000000001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1:46" s="10" customFormat="1" ht="17.100000000000001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46" s="10" customFormat="1" ht="17.100000000000001" customHeigh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spans="1:46" s="10" customFormat="1" ht="17.100000000000001" customHeigh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46" s="10" customFormat="1" ht="17.100000000000001" customHeigh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spans="1:46" s="10" customFormat="1" ht="17.100000000000001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46" s="10" customFormat="1" ht="17.100000000000001" customHeigh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spans="1:46" s="10" customFormat="1" ht="17.100000000000001" customHeigh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s="10" customFormat="1" ht="17.100000000000001" customHeigh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spans="1:34" s="10" customFormat="1" ht="17.100000000000001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s="10" customFormat="1" ht="17.100000000000001" customHeigh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spans="1:34" s="10" customFormat="1" ht="17.100000000000001" customHeigh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s="10" customFormat="1" ht="17.100000000000001" customHeigh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spans="1:34" s="10" customFormat="1" ht="17.100000000000001" customHeigh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s="10" customFormat="1" ht="17.100000000000001" customHeigh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spans="1:34" s="10" customFormat="1" ht="17.100000000000001" customHeigh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s="10" customFormat="1" ht="17.100000000000001" customHeigh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spans="1:34" s="10" customFormat="1" ht="17.100000000000001" customHeigh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s="10" customFormat="1" ht="17.100000000000001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spans="1:34" s="10" customFormat="1" ht="17.100000000000001" customHeigh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spans="1:34" s="10" customFormat="1" ht="17.100000000000001" customHeigh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spans="1:34" s="10" customFormat="1" ht="17.100000000000001" customHeigh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spans="1:34" s="10" customFormat="1" ht="17.100000000000001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spans="1:34" s="10" customFormat="1" ht="17.100000000000001" customHeigh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spans="1:34" s="10" customFormat="1" ht="17.100000000000001" customHeigh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spans="1:34" s="10" customFormat="1" ht="17.100000000000001" customHeigh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spans="1:34" s="10" customFormat="1" ht="17.100000000000001" customHeigh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spans="1:34" s="10" customFormat="1" ht="17.100000000000001" customHeigh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spans="1:34" s="10" customFormat="1" ht="17.100000000000001" customHeigh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spans="1:34" s="10" customFormat="1" ht="17.100000000000001" customHeigh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spans="1:34" s="10" customFormat="1" ht="17.100000000000001" customHeigh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spans="1:34" s="10" customFormat="1" ht="17.100000000000001" customHeigh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spans="1:34" s="10" customFormat="1" ht="17.100000000000001" customHeigh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4" s="10" customFormat="1" ht="17.100000000000001" customHeigh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spans="1:34" s="10" customFormat="1" ht="17.100000000000001" customHeigh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spans="1:34" s="10" customFormat="1" ht="17.100000000000001" customHeigh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spans="1:34" s="10" customFormat="1" ht="17.100000000000001" customHeigh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spans="1:34" s="10" customFormat="1" ht="17.100000000000001" customHeigh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 spans="1:34" s="10" customFormat="1" ht="17.100000000000001" customHeigh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 spans="1:34" s="10" customFormat="1" ht="17.100000000000001" customHeigh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s="10" customFormat="1" ht="17.100000000000001" customHeigh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spans="1:34" s="10" customFormat="1" ht="17.100000000000001" customHeigh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s="10" customFormat="1" ht="17.100000000000001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spans="1:34" s="10" customFormat="1" ht="17.100000000000001" customHeigh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spans="1:34" s="10" customFormat="1" ht="17.100000000000001" customHeigh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 spans="1:34" s="10" customFormat="1" ht="17.100000000000001" customHeight="1" x14ac:dyDescent="0.3"/>
    <row r="167" spans="1:34" s="10" customFormat="1" ht="17.100000000000001" customHeight="1" x14ac:dyDescent="0.3"/>
    <row r="168" spans="1:34" s="10" customFormat="1" ht="17.100000000000001" customHeight="1" x14ac:dyDescent="0.3"/>
    <row r="169" spans="1:34" s="10" customFormat="1" ht="17.100000000000001" customHeight="1" x14ac:dyDescent="0.3"/>
    <row r="170" spans="1:34" s="10" customFormat="1" ht="17.100000000000001" customHeight="1" x14ac:dyDescent="0.3"/>
    <row r="171" spans="1:34" s="10" customFormat="1" ht="17.100000000000001" customHeight="1" x14ac:dyDescent="0.3"/>
    <row r="172" spans="1:34" s="10" customFormat="1" ht="17.100000000000001" customHeight="1" x14ac:dyDescent="0.3"/>
    <row r="173" spans="1:34" s="10" customFormat="1" ht="17.100000000000001" customHeight="1" x14ac:dyDescent="0.3"/>
    <row r="174" spans="1:34" s="10" customFormat="1" ht="17.100000000000001" customHeight="1" x14ac:dyDescent="0.3"/>
    <row r="175" spans="1:34" s="10" customFormat="1" ht="17.100000000000001" customHeight="1" x14ac:dyDescent="0.3"/>
    <row r="176" spans="1:34" s="10" customFormat="1" ht="17.100000000000001" customHeight="1" x14ac:dyDescent="0.3"/>
    <row r="177" s="10" customFormat="1" ht="17.100000000000001" customHeight="1" x14ac:dyDescent="0.3"/>
    <row r="178" s="10" customFormat="1" ht="17.100000000000001" customHeight="1" x14ac:dyDescent="0.3"/>
    <row r="179" s="10" customFormat="1" ht="17.100000000000001" customHeight="1" x14ac:dyDescent="0.3"/>
    <row r="180" s="10" customFormat="1" ht="17.100000000000001" customHeight="1" x14ac:dyDescent="0.3"/>
    <row r="181" s="10" customFormat="1" ht="17.100000000000001" customHeight="1" x14ac:dyDescent="0.3"/>
    <row r="182" s="10" customFormat="1" ht="17.100000000000001" customHeight="1" x14ac:dyDescent="0.3"/>
    <row r="183" s="10" customFormat="1" ht="17.100000000000001" customHeight="1" x14ac:dyDescent="0.3"/>
    <row r="184" s="10" customFormat="1" ht="17.100000000000001" customHeight="1" x14ac:dyDescent="0.3"/>
    <row r="185" s="10" customFormat="1" ht="17.100000000000001" customHeight="1" x14ac:dyDescent="0.3"/>
    <row r="186" s="10" customFormat="1" ht="17.100000000000001" customHeight="1" x14ac:dyDescent="0.3"/>
    <row r="187" s="10" customFormat="1" ht="17.100000000000001" customHeight="1" x14ac:dyDescent="0.3"/>
    <row r="188" s="10" customFormat="1" ht="17.100000000000001" customHeight="1" x14ac:dyDescent="0.3"/>
  </sheetData>
  <mergeCells count="678">
    <mergeCell ref="D10:I21"/>
    <mergeCell ref="Q68:T68"/>
    <mergeCell ref="U68:V68"/>
    <mergeCell ref="AI90:AT90"/>
    <mergeCell ref="AI91:AT91"/>
    <mergeCell ref="AI92:AT92"/>
    <mergeCell ref="AI93:AT93"/>
    <mergeCell ref="AI35:AT35"/>
    <mergeCell ref="AI36:AT36"/>
    <mergeCell ref="AI37:AT37"/>
    <mergeCell ref="AI38:AT38"/>
    <mergeCell ref="AI40:AT40"/>
    <mergeCell ref="AI41:AT41"/>
    <mergeCell ref="AI42:AT42"/>
    <mergeCell ref="AI43:AT43"/>
    <mergeCell ref="AI67:AT67"/>
    <mergeCell ref="AI68:AT68"/>
    <mergeCell ref="AI71:AT71"/>
    <mergeCell ref="AI50:AT50"/>
    <mergeCell ref="AI65:AT65"/>
    <mergeCell ref="AI54:AT54"/>
    <mergeCell ref="AI66:AT66"/>
    <mergeCell ref="AI82:AT82"/>
    <mergeCell ref="AI83:AT83"/>
    <mergeCell ref="AI89:AT89"/>
    <mergeCell ref="AA22:AB22"/>
    <mergeCell ref="AC22:AH22"/>
    <mergeCell ref="K90:P90"/>
    <mergeCell ref="Q90:T90"/>
    <mergeCell ref="U90:V90"/>
    <mergeCell ref="X90:Y90"/>
    <mergeCell ref="AA90:AB90"/>
    <mergeCell ref="AC90:AH90"/>
    <mergeCell ref="K41:P41"/>
    <mergeCell ref="Q41:AB41"/>
    <mergeCell ref="AC41:AH41"/>
    <mergeCell ref="K42:P42"/>
    <mergeCell ref="Q42:AB42"/>
    <mergeCell ref="AC42:AH42"/>
    <mergeCell ref="K43:P43"/>
    <mergeCell ref="Q43:AB43"/>
    <mergeCell ref="AC43:AH43"/>
    <mergeCell ref="K67:P67"/>
    <mergeCell ref="Q67:T67"/>
    <mergeCell ref="U67:V67"/>
    <mergeCell ref="X67:Y67"/>
    <mergeCell ref="AA67:AB67"/>
    <mergeCell ref="AC67:AH67"/>
    <mergeCell ref="K68:P68"/>
    <mergeCell ref="AI45:AT45"/>
    <mergeCell ref="Q38:AB38"/>
    <mergeCell ref="AA12:AB12"/>
    <mergeCell ref="AC12:AH12"/>
    <mergeCell ref="Q17:T17"/>
    <mergeCell ref="U17:V17"/>
    <mergeCell ref="X17:Y17"/>
    <mergeCell ref="AA17:AB17"/>
    <mergeCell ref="AC17:AH17"/>
    <mergeCell ref="AC19:AH19"/>
    <mergeCell ref="U24:V24"/>
    <mergeCell ref="X24:Y24"/>
    <mergeCell ref="AA24:AB24"/>
    <mergeCell ref="AC24:AH24"/>
    <mergeCell ref="X15:Y15"/>
    <mergeCell ref="AA15:AB15"/>
    <mergeCell ref="AC15:AH15"/>
    <mergeCell ref="Q23:T23"/>
    <mergeCell ref="U23:V23"/>
    <mergeCell ref="X23:Y23"/>
    <mergeCell ref="AA23:AB23"/>
    <mergeCell ref="AC23:AH23"/>
    <mergeCell ref="U22:V22"/>
    <mergeCell ref="X22:Y22"/>
    <mergeCell ref="Q37:AB37"/>
    <mergeCell ref="AC37:AH37"/>
    <mergeCell ref="AI28:AT28"/>
    <mergeCell ref="AC30:AH30"/>
    <mergeCell ref="K45:P45"/>
    <mergeCell ref="K25:P25"/>
    <mergeCell ref="Q25:T25"/>
    <mergeCell ref="U25:V25"/>
    <mergeCell ref="X25:Y25"/>
    <mergeCell ref="AA25:AB25"/>
    <mergeCell ref="AC25:AH25"/>
    <mergeCell ref="X39:Y39"/>
    <mergeCell ref="AA39:AB39"/>
    <mergeCell ref="K40:P40"/>
    <mergeCell ref="Q40:AB40"/>
    <mergeCell ref="AC40:AH40"/>
    <mergeCell ref="AI27:AT27"/>
    <mergeCell ref="K26:P26"/>
    <mergeCell ref="Q26:T26"/>
    <mergeCell ref="U26:V26"/>
    <mergeCell ref="X26:Y26"/>
    <mergeCell ref="AA26:AB26"/>
    <mergeCell ref="AC26:AH26"/>
    <mergeCell ref="AC27:AH27"/>
    <mergeCell ref="U49:V49"/>
    <mergeCell ref="X49:Y49"/>
    <mergeCell ref="AA49:AB49"/>
    <mergeCell ref="AC49:AH49"/>
    <mergeCell ref="AC60:AH60"/>
    <mergeCell ref="K55:P55"/>
    <mergeCell ref="Q55:T55"/>
    <mergeCell ref="U55:V55"/>
    <mergeCell ref="X55:Y55"/>
    <mergeCell ref="AA55:AB55"/>
    <mergeCell ref="AC55:AH55"/>
    <mergeCell ref="AC28:AH28"/>
    <mergeCell ref="X68:Y68"/>
    <mergeCell ref="AA68:AB68"/>
    <mergeCell ref="AC68:AH68"/>
    <mergeCell ref="AI46:AT46"/>
    <mergeCell ref="K47:P47"/>
    <mergeCell ref="Q47:T47"/>
    <mergeCell ref="U47:V47"/>
    <mergeCell ref="X47:Y47"/>
    <mergeCell ref="AA47:AB47"/>
    <mergeCell ref="AC47:AH47"/>
    <mergeCell ref="AI47:AT47"/>
    <mergeCell ref="K48:P48"/>
    <mergeCell ref="Q48:T48"/>
    <mergeCell ref="U48:V48"/>
    <mergeCell ref="X48:Y48"/>
    <mergeCell ref="AA48:AB48"/>
    <mergeCell ref="AC48:AH48"/>
    <mergeCell ref="AI48:AT48"/>
    <mergeCell ref="AI52:AT52"/>
    <mergeCell ref="AI64:AT64"/>
    <mergeCell ref="K60:P60"/>
    <mergeCell ref="U60:V60"/>
    <mergeCell ref="X60:Y60"/>
    <mergeCell ref="AA60:AB60"/>
    <mergeCell ref="AO3:AU3"/>
    <mergeCell ref="E1:L1"/>
    <mergeCell ref="M1:O1"/>
    <mergeCell ref="P1:AD1"/>
    <mergeCell ref="A3:J3"/>
    <mergeCell ref="AB3:AH3"/>
    <mergeCell ref="A4:J4"/>
    <mergeCell ref="K4:AH4"/>
    <mergeCell ref="A6:J6"/>
    <mergeCell ref="K6:AH6"/>
    <mergeCell ref="AI6:AS6"/>
    <mergeCell ref="AL5:AM5"/>
    <mergeCell ref="AN4:AO4"/>
    <mergeCell ref="AN5:AO5"/>
    <mergeCell ref="AP4:AQ4"/>
    <mergeCell ref="AP5:AQ5"/>
    <mergeCell ref="AR4:AS4"/>
    <mergeCell ref="AR5:AS5"/>
    <mergeCell ref="AT4:AU4"/>
    <mergeCell ref="AT5:AU5"/>
    <mergeCell ref="AI4:AI5"/>
    <mergeCell ref="AI1:AU1"/>
    <mergeCell ref="AO2:AU2"/>
    <mergeCell ref="E2:AD2"/>
    <mergeCell ref="A7:J7"/>
    <mergeCell ref="AC7:AH7"/>
    <mergeCell ref="B8:J8"/>
    <mergeCell ref="AC8:AH8"/>
    <mergeCell ref="A5:B5"/>
    <mergeCell ref="C5:D5"/>
    <mergeCell ref="E5:J5"/>
    <mergeCell ref="K5:P5"/>
    <mergeCell ref="Q5:AB5"/>
    <mergeCell ref="AC5:AH5"/>
    <mergeCell ref="K13:P13"/>
    <mergeCell ref="Q13:T13"/>
    <mergeCell ref="U13:V13"/>
    <mergeCell ref="X13:Y13"/>
    <mergeCell ref="AA13:AB13"/>
    <mergeCell ref="AC13:AH13"/>
    <mergeCell ref="AI25:AT25"/>
    <mergeCell ref="C9:J9"/>
    <mergeCell ref="K9:P9"/>
    <mergeCell ref="AC9:AH9"/>
    <mergeCell ref="K10:P10"/>
    <mergeCell ref="Q10:T10"/>
    <mergeCell ref="U10:V10"/>
    <mergeCell ref="X10:Y10"/>
    <mergeCell ref="AA10:AB10"/>
    <mergeCell ref="AC10:AH10"/>
    <mergeCell ref="AI12:AT12"/>
    <mergeCell ref="AI16:AT16"/>
    <mergeCell ref="K17:P17"/>
    <mergeCell ref="K12:P12"/>
    <mergeCell ref="Q12:T12"/>
    <mergeCell ref="U12:V12"/>
    <mergeCell ref="X12:Y12"/>
    <mergeCell ref="AI10:AT10"/>
    <mergeCell ref="K11:P11"/>
    <mergeCell ref="Q11:T11"/>
    <mergeCell ref="U11:V11"/>
    <mergeCell ref="X11:Y11"/>
    <mergeCell ref="AA11:AB11"/>
    <mergeCell ref="AC11:AH11"/>
    <mergeCell ref="AI11:AT11"/>
    <mergeCell ref="AI26:AT26"/>
    <mergeCell ref="AI13:AT13"/>
    <mergeCell ref="K14:P14"/>
    <mergeCell ref="Q14:T14"/>
    <mergeCell ref="U14:V14"/>
    <mergeCell ref="X14:Y14"/>
    <mergeCell ref="AA14:AB14"/>
    <mergeCell ref="AC14:AH14"/>
    <mergeCell ref="AI14:AT14"/>
    <mergeCell ref="AI17:AT17"/>
    <mergeCell ref="K16:P16"/>
    <mergeCell ref="Q16:T16"/>
    <mergeCell ref="U16:V16"/>
    <mergeCell ref="X16:Y16"/>
    <mergeCell ref="AA16:AB16"/>
    <mergeCell ref="AC16:AH16"/>
    <mergeCell ref="AI18:AT18"/>
    <mergeCell ref="C49:J49"/>
    <mergeCell ref="C50:J50"/>
    <mergeCell ref="Q45:T45"/>
    <mergeCell ref="U45:V45"/>
    <mergeCell ref="X45:Y45"/>
    <mergeCell ref="AA45:AB45"/>
    <mergeCell ref="AC51:AH51"/>
    <mergeCell ref="AC45:AH45"/>
    <mergeCell ref="K50:P50"/>
    <mergeCell ref="Q50:T50"/>
    <mergeCell ref="U50:V50"/>
    <mergeCell ref="X50:Y50"/>
    <mergeCell ref="AA50:AB50"/>
    <mergeCell ref="AC50:AH50"/>
    <mergeCell ref="B51:J51"/>
    <mergeCell ref="K46:P46"/>
    <mergeCell ref="Q46:T46"/>
    <mergeCell ref="U46:V46"/>
    <mergeCell ref="X46:Y46"/>
    <mergeCell ref="AA46:AB46"/>
    <mergeCell ref="AC46:AH46"/>
    <mergeCell ref="C45:J45"/>
    <mergeCell ref="K49:P49"/>
    <mergeCell ref="Q49:T49"/>
    <mergeCell ref="AC70:AH70"/>
    <mergeCell ref="C71:J71"/>
    <mergeCell ref="K71:P71"/>
    <mergeCell ref="AC71:AH71"/>
    <mergeCell ref="Q71:AB71"/>
    <mergeCell ref="A69:J69"/>
    <mergeCell ref="AC69:AH69"/>
    <mergeCell ref="B70:J70"/>
    <mergeCell ref="K70:P70"/>
    <mergeCell ref="Q70:T70"/>
    <mergeCell ref="U70:V70"/>
    <mergeCell ref="X70:Y70"/>
    <mergeCell ref="AA70:AB70"/>
    <mergeCell ref="K18:P18"/>
    <mergeCell ref="Q18:T18"/>
    <mergeCell ref="U18:V18"/>
    <mergeCell ref="X18:Y18"/>
    <mergeCell ref="AA18:AB18"/>
    <mergeCell ref="AC18:AH18"/>
    <mergeCell ref="AA19:AB19"/>
    <mergeCell ref="AI19:AT19"/>
    <mergeCell ref="AC21:AH21"/>
    <mergeCell ref="K20:P20"/>
    <mergeCell ref="Q20:T20"/>
    <mergeCell ref="U20:V20"/>
    <mergeCell ref="X20:Y20"/>
    <mergeCell ref="AA20:AB20"/>
    <mergeCell ref="AC20:AH20"/>
    <mergeCell ref="AI20:AT20"/>
    <mergeCell ref="U19:V19"/>
    <mergeCell ref="X19:Y19"/>
    <mergeCell ref="C30:J30"/>
    <mergeCell ref="K30:P30"/>
    <mergeCell ref="Q30:T30"/>
    <mergeCell ref="U30:V30"/>
    <mergeCell ref="X30:Y30"/>
    <mergeCell ref="AA30:AB30"/>
    <mergeCell ref="K29:P29"/>
    <mergeCell ref="Q29:T29"/>
    <mergeCell ref="U29:V29"/>
    <mergeCell ref="X29:Y29"/>
    <mergeCell ref="AA29:AB29"/>
    <mergeCell ref="C27:J27"/>
    <mergeCell ref="K27:P27"/>
    <mergeCell ref="Q27:T27"/>
    <mergeCell ref="U27:V27"/>
    <mergeCell ref="X27:Y27"/>
    <mergeCell ref="AA27:AB27"/>
    <mergeCell ref="K28:P28"/>
    <mergeCell ref="Q28:T28"/>
    <mergeCell ref="U28:V28"/>
    <mergeCell ref="X28:Y28"/>
    <mergeCell ref="AA28:AB28"/>
    <mergeCell ref="B44:J44"/>
    <mergeCell ref="AI34:AT34"/>
    <mergeCell ref="K39:P39"/>
    <mergeCell ref="AC39:AH39"/>
    <mergeCell ref="AI39:AT39"/>
    <mergeCell ref="K34:P34"/>
    <mergeCell ref="AC34:AH34"/>
    <mergeCell ref="AC44:AH44"/>
    <mergeCell ref="Q34:T34"/>
    <mergeCell ref="U34:V34"/>
    <mergeCell ref="X34:Y34"/>
    <mergeCell ref="AA34:AB34"/>
    <mergeCell ref="K35:P35"/>
    <mergeCell ref="Q35:AB35"/>
    <mergeCell ref="AC35:AH35"/>
    <mergeCell ref="K36:P36"/>
    <mergeCell ref="Q36:AB36"/>
    <mergeCell ref="D34:I37"/>
    <mergeCell ref="AC38:AH38"/>
    <mergeCell ref="Q39:T39"/>
    <mergeCell ref="U39:V39"/>
    <mergeCell ref="K38:P38"/>
    <mergeCell ref="AC36:AH36"/>
    <mergeCell ref="K37:P37"/>
    <mergeCell ref="C33:J33"/>
    <mergeCell ref="K33:P33"/>
    <mergeCell ref="Q33:T33"/>
    <mergeCell ref="U33:V33"/>
    <mergeCell ref="X33:Y33"/>
    <mergeCell ref="AA33:AB33"/>
    <mergeCell ref="AC33:AH33"/>
    <mergeCell ref="AI33:AT33"/>
    <mergeCell ref="Q32:AB32"/>
    <mergeCell ref="K32:P32"/>
    <mergeCell ref="AC32:AH32"/>
    <mergeCell ref="AI32:AT32"/>
    <mergeCell ref="AI15:AT15"/>
    <mergeCell ref="AI30:AT30"/>
    <mergeCell ref="K31:P31"/>
    <mergeCell ref="AC31:AH31"/>
    <mergeCell ref="AI31:AT31"/>
    <mergeCell ref="Q31:AB31"/>
    <mergeCell ref="AC29:AH29"/>
    <mergeCell ref="AI29:AT29"/>
    <mergeCell ref="K19:P19"/>
    <mergeCell ref="Q19:T19"/>
    <mergeCell ref="AI23:AT23"/>
    <mergeCell ref="K24:P24"/>
    <mergeCell ref="Q24:T24"/>
    <mergeCell ref="AI24:AT24"/>
    <mergeCell ref="K23:P23"/>
    <mergeCell ref="AI21:AT21"/>
    <mergeCell ref="K22:P22"/>
    <mergeCell ref="Q22:T22"/>
    <mergeCell ref="AI22:AT22"/>
    <mergeCell ref="K21:P21"/>
    <mergeCell ref="Q21:T21"/>
    <mergeCell ref="U21:V21"/>
    <mergeCell ref="X21:Y21"/>
    <mergeCell ref="AA21:AB21"/>
    <mergeCell ref="AK2:AN2"/>
    <mergeCell ref="AK3:AN3"/>
    <mergeCell ref="AJ4:AK4"/>
    <mergeCell ref="AJ5:AK5"/>
    <mergeCell ref="AL4:AM4"/>
    <mergeCell ref="AI49:AT49"/>
    <mergeCell ref="C53:J53"/>
    <mergeCell ref="K53:P53"/>
    <mergeCell ref="Q53:T53"/>
    <mergeCell ref="U53:V53"/>
    <mergeCell ref="X53:Y53"/>
    <mergeCell ref="AA53:AB53"/>
    <mergeCell ref="AC53:AH53"/>
    <mergeCell ref="AI53:AT53"/>
    <mergeCell ref="C52:J52"/>
    <mergeCell ref="K52:P52"/>
    <mergeCell ref="Q52:T52"/>
    <mergeCell ref="U52:V52"/>
    <mergeCell ref="X52:Y52"/>
    <mergeCell ref="AA52:AB52"/>
    <mergeCell ref="AC52:AH52"/>
    <mergeCell ref="K15:P15"/>
    <mergeCell ref="Q15:T15"/>
    <mergeCell ref="U15:V15"/>
    <mergeCell ref="C57:J57"/>
    <mergeCell ref="K57:P57"/>
    <mergeCell ref="Q57:T57"/>
    <mergeCell ref="U57:V57"/>
    <mergeCell ref="X57:Y57"/>
    <mergeCell ref="AA57:AB57"/>
    <mergeCell ref="K59:P59"/>
    <mergeCell ref="Q59:T59"/>
    <mergeCell ref="AI59:AT59"/>
    <mergeCell ref="U59:V59"/>
    <mergeCell ref="X59:Y59"/>
    <mergeCell ref="AA59:AB59"/>
    <mergeCell ref="AC59:AH59"/>
    <mergeCell ref="AC57:AH57"/>
    <mergeCell ref="K58:P58"/>
    <mergeCell ref="Q58:T58"/>
    <mergeCell ref="U58:V58"/>
    <mergeCell ref="X58:Y58"/>
    <mergeCell ref="AA58:AB58"/>
    <mergeCell ref="AC58:AH58"/>
    <mergeCell ref="AI58:AT58"/>
    <mergeCell ref="AI57:AT57"/>
    <mergeCell ref="AI60:AT60"/>
    <mergeCell ref="K61:P61"/>
    <mergeCell ref="Q61:T61"/>
    <mergeCell ref="U61:V61"/>
    <mergeCell ref="X61:Y61"/>
    <mergeCell ref="AA61:AB61"/>
    <mergeCell ref="AC61:AH61"/>
    <mergeCell ref="AI61:AT61"/>
    <mergeCell ref="K62:P62"/>
    <mergeCell ref="Q62:T62"/>
    <mergeCell ref="U62:V62"/>
    <mergeCell ref="AI62:AT62"/>
    <mergeCell ref="Q60:T60"/>
    <mergeCell ref="AC62:AH62"/>
    <mergeCell ref="AI63:AT63"/>
    <mergeCell ref="K64:P64"/>
    <mergeCell ref="Q64:T64"/>
    <mergeCell ref="U64:V64"/>
    <mergeCell ref="X64:Y64"/>
    <mergeCell ref="X62:Y62"/>
    <mergeCell ref="AA62:AB62"/>
    <mergeCell ref="C66:J66"/>
    <mergeCell ref="K66:P66"/>
    <mergeCell ref="AC66:AH66"/>
    <mergeCell ref="C64:J64"/>
    <mergeCell ref="AA64:AB64"/>
    <mergeCell ref="AC64:AH64"/>
    <mergeCell ref="C65:J65"/>
    <mergeCell ref="K65:P65"/>
    <mergeCell ref="Q65:T65"/>
    <mergeCell ref="U65:V65"/>
    <mergeCell ref="X65:Y65"/>
    <mergeCell ref="AA65:AB65"/>
    <mergeCell ref="Q66:AB66"/>
    <mergeCell ref="AC65:AH65"/>
    <mergeCell ref="K63:P63"/>
    <mergeCell ref="AC63:AH63"/>
    <mergeCell ref="Q63:AB63"/>
    <mergeCell ref="AI55:AT55"/>
    <mergeCell ref="K54:P54"/>
    <mergeCell ref="Q54:T54"/>
    <mergeCell ref="U54:V54"/>
    <mergeCell ref="X54:Y54"/>
    <mergeCell ref="K56:P56"/>
    <mergeCell ref="Q56:T56"/>
    <mergeCell ref="U56:V56"/>
    <mergeCell ref="X56:Y56"/>
    <mergeCell ref="AA56:AB56"/>
    <mergeCell ref="AC56:AH56"/>
    <mergeCell ref="AI56:AT56"/>
    <mergeCell ref="AA54:AB54"/>
    <mergeCell ref="AC54:AH54"/>
    <mergeCell ref="A74:J74"/>
    <mergeCell ref="AC74:AH74"/>
    <mergeCell ref="AC72:AH72"/>
    <mergeCell ref="AI72:AT72"/>
    <mergeCell ref="C73:J73"/>
    <mergeCell ref="K73:P73"/>
    <mergeCell ref="AC73:AH73"/>
    <mergeCell ref="AI73:AT73"/>
    <mergeCell ref="C72:J72"/>
    <mergeCell ref="K72:P72"/>
    <mergeCell ref="Q72:AB72"/>
    <mergeCell ref="Q73:AB73"/>
    <mergeCell ref="K83:P83"/>
    <mergeCell ref="AC83:AH83"/>
    <mergeCell ref="K84:AB84"/>
    <mergeCell ref="K82:P82"/>
    <mergeCell ref="AC82:AH82"/>
    <mergeCell ref="B75:J75"/>
    <mergeCell ref="K75:P75"/>
    <mergeCell ref="Q75:T75"/>
    <mergeCell ref="U75:V75"/>
    <mergeCell ref="X75:Y75"/>
    <mergeCell ref="AA75:AB75"/>
    <mergeCell ref="AC75:AH75"/>
    <mergeCell ref="C76:J76"/>
    <mergeCell ref="K76:P76"/>
    <mergeCell ref="Q76:AB76"/>
    <mergeCell ref="AC76:AH76"/>
    <mergeCell ref="K77:P77"/>
    <mergeCell ref="AC77:AH77"/>
    <mergeCell ref="K79:P79"/>
    <mergeCell ref="AC79:AH79"/>
    <mergeCell ref="K80:P80"/>
    <mergeCell ref="Q80:AB80"/>
    <mergeCell ref="AC80:AH80"/>
    <mergeCell ref="K81:P81"/>
    <mergeCell ref="AC81:AH81"/>
    <mergeCell ref="Q77:T77"/>
    <mergeCell ref="U77:V77"/>
    <mergeCell ref="X77:Y77"/>
    <mergeCell ref="AA77:AB77"/>
    <mergeCell ref="K78:P78"/>
    <mergeCell ref="Q78:AB78"/>
    <mergeCell ref="AC78:AH78"/>
    <mergeCell ref="AI77:AT77"/>
    <mergeCell ref="AI78:AT78"/>
    <mergeCell ref="AI79:AT79"/>
    <mergeCell ref="AI81:AT81"/>
    <mergeCell ref="Q79:T79"/>
    <mergeCell ref="U79:V79"/>
    <mergeCell ref="X79:Y79"/>
    <mergeCell ref="AA79:AB79"/>
    <mergeCell ref="Q81:T81"/>
    <mergeCell ref="U81:V81"/>
    <mergeCell ref="X81:Y81"/>
    <mergeCell ref="AA81:AB81"/>
    <mergeCell ref="Q82:T82"/>
    <mergeCell ref="U82:V82"/>
    <mergeCell ref="X82:Y82"/>
    <mergeCell ref="AA82:AB82"/>
    <mergeCell ref="Q83:T83"/>
    <mergeCell ref="U83:V83"/>
    <mergeCell ref="X83:Y83"/>
    <mergeCell ref="AA83:AB83"/>
    <mergeCell ref="AI84:AT84"/>
    <mergeCell ref="AI87:AT87"/>
    <mergeCell ref="B88:J88"/>
    <mergeCell ref="AC88:AH88"/>
    <mergeCell ref="C85:J85"/>
    <mergeCell ref="AC85:AH85"/>
    <mergeCell ref="C86:J86"/>
    <mergeCell ref="AC86:AH86"/>
    <mergeCell ref="C87:J87"/>
    <mergeCell ref="AC87:AH87"/>
    <mergeCell ref="AI85:AT85"/>
    <mergeCell ref="AI86:AT86"/>
    <mergeCell ref="C84:J84"/>
    <mergeCell ref="AC84:AH84"/>
    <mergeCell ref="C89:J89"/>
    <mergeCell ref="K89:P89"/>
    <mergeCell ref="Q89:T89"/>
    <mergeCell ref="U89:V89"/>
    <mergeCell ref="X89:Y89"/>
    <mergeCell ref="AA89:AB89"/>
    <mergeCell ref="AC89:AH89"/>
    <mergeCell ref="K85:AB85"/>
    <mergeCell ref="K86:AB86"/>
    <mergeCell ref="K87:AB87"/>
    <mergeCell ref="B94:J94"/>
    <mergeCell ref="AC94:AH94"/>
    <mergeCell ref="K91:P91"/>
    <mergeCell ref="Q91:T91"/>
    <mergeCell ref="U91:V91"/>
    <mergeCell ref="X91:Y91"/>
    <mergeCell ref="AA91:AB91"/>
    <mergeCell ref="AC91:AH91"/>
    <mergeCell ref="K92:P92"/>
    <mergeCell ref="Q92:T92"/>
    <mergeCell ref="U92:V92"/>
    <mergeCell ref="X92:Y92"/>
    <mergeCell ref="AA92:AB92"/>
    <mergeCell ref="AC92:AH92"/>
    <mergeCell ref="K93:P93"/>
    <mergeCell ref="Q93:T93"/>
    <mergeCell ref="U93:V93"/>
    <mergeCell ref="X93:Y93"/>
    <mergeCell ref="AA93:AB93"/>
    <mergeCell ref="AC93:AH93"/>
    <mergeCell ref="AI95:AT95"/>
    <mergeCell ref="AI96:AT96"/>
    <mergeCell ref="C95:J95"/>
    <mergeCell ref="K95:P95"/>
    <mergeCell ref="Q95:T95"/>
    <mergeCell ref="U95:V95"/>
    <mergeCell ref="X95:Y95"/>
    <mergeCell ref="AA95:AB95"/>
    <mergeCell ref="AC95:AH95"/>
    <mergeCell ref="C96:J96"/>
    <mergeCell ref="K96:P96"/>
    <mergeCell ref="Q96:T96"/>
    <mergeCell ref="U96:V96"/>
    <mergeCell ref="X96:Y96"/>
    <mergeCell ref="AA96:AB96"/>
    <mergeCell ref="AC96:AH96"/>
    <mergeCell ref="C100:J100"/>
    <mergeCell ref="AC100:AH100"/>
    <mergeCell ref="AI100:AT100"/>
    <mergeCell ref="K100:AB100"/>
    <mergeCell ref="C99:J99"/>
    <mergeCell ref="AC99:AH99"/>
    <mergeCell ref="AI99:AT99"/>
    <mergeCell ref="A97:J97"/>
    <mergeCell ref="AC97:AH97"/>
    <mergeCell ref="B98:J98"/>
    <mergeCell ref="K98:P98"/>
    <mergeCell ref="Q98:T98"/>
    <mergeCell ref="U98:V98"/>
    <mergeCell ref="X98:Y98"/>
    <mergeCell ref="AA98:AB98"/>
    <mergeCell ref="AC98:AH98"/>
    <mergeCell ref="K99:AB99"/>
    <mergeCell ref="C103:J103"/>
    <mergeCell ref="K103:AB103"/>
    <mergeCell ref="AC103:AH103"/>
    <mergeCell ref="AI103:AT103"/>
    <mergeCell ref="AC104:AH104"/>
    <mergeCell ref="A104:J104"/>
    <mergeCell ref="A101:J101"/>
    <mergeCell ref="AC101:AH101"/>
    <mergeCell ref="B102:J102"/>
    <mergeCell ref="K102:P102"/>
    <mergeCell ref="Q102:T102"/>
    <mergeCell ref="U102:V102"/>
    <mergeCell ref="X102:Y102"/>
    <mergeCell ref="AA102:AB102"/>
    <mergeCell ref="AC102:AH102"/>
    <mergeCell ref="B105:J105"/>
    <mergeCell ref="K105:P105"/>
    <mergeCell ref="Q105:T105"/>
    <mergeCell ref="U105:V105"/>
    <mergeCell ref="X105:Y105"/>
    <mergeCell ref="AA105:AB105"/>
    <mergeCell ref="AC105:AH105"/>
    <mergeCell ref="C106:J106"/>
    <mergeCell ref="K106:AB106"/>
    <mergeCell ref="AC106:AH106"/>
    <mergeCell ref="AI106:AT106"/>
    <mergeCell ref="C107:J107"/>
    <mergeCell ref="K107:AB107"/>
    <mergeCell ref="AC107:AH107"/>
    <mergeCell ref="AI107:AT107"/>
    <mergeCell ref="A108:J108"/>
    <mergeCell ref="AC108:AH108"/>
    <mergeCell ref="B109:J109"/>
    <mergeCell ref="K109:P109"/>
    <mergeCell ref="Q109:T109"/>
    <mergeCell ref="U109:V109"/>
    <mergeCell ref="X109:Y109"/>
    <mergeCell ref="AA109:AB109"/>
    <mergeCell ref="AC109:AH109"/>
    <mergeCell ref="C110:J110"/>
    <mergeCell ref="K110:AB110"/>
    <mergeCell ref="AC110:AH110"/>
    <mergeCell ref="AI110:AT110"/>
    <mergeCell ref="A111:J111"/>
    <mergeCell ref="AC111:AH111"/>
    <mergeCell ref="B112:J112"/>
    <mergeCell ref="K112:P112"/>
    <mergeCell ref="Q112:T112"/>
    <mergeCell ref="U112:V112"/>
    <mergeCell ref="X112:Y112"/>
    <mergeCell ref="AA112:AB112"/>
    <mergeCell ref="AC112:AH112"/>
    <mergeCell ref="AC114:AH114"/>
    <mergeCell ref="AI114:AT114"/>
    <mergeCell ref="A115:J115"/>
    <mergeCell ref="AC115:AH115"/>
    <mergeCell ref="AI117:AT117"/>
    <mergeCell ref="B116:J116"/>
    <mergeCell ref="K116:P116"/>
    <mergeCell ref="Q116:T116"/>
    <mergeCell ref="U116:V116"/>
    <mergeCell ref="X116:Y116"/>
    <mergeCell ref="AA116:AB116"/>
    <mergeCell ref="AV2:BM2"/>
    <mergeCell ref="AV3:BM3"/>
    <mergeCell ref="C118:J118"/>
    <mergeCell ref="AC118:AH118"/>
    <mergeCell ref="AI118:AT118"/>
    <mergeCell ref="K117:P117"/>
    <mergeCell ref="Q117:T117"/>
    <mergeCell ref="U117:V117"/>
    <mergeCell ref="X117:Y117"/>
    <mergeCell ref="AA117:AB117"/>
    <mergeCell ref="K118:P118"/>
    <mergeCell ref="Q118:T118"/>
    <mergeCell ref="U118:V118"/>
    <mergeCell ref="X118:Y118"/>
    <mergeCell ref="AA118:AB118"/>
    <mergeCell ref="AC116:AH116"/>
    <mergeCell ref="C117:J117"/>
    <mergeCell ref="AC117:AH117"/>
    <mergeCell ref="C113:J113"/>
    <mergeCell ref="K113:AB113"/>
    <mergeCell ref="AC113:AH113"/>
    <mergeCell ref="AI113:AT113"/>
    <mergeCell ref="C114:J114"/>
    <mergeCell ref="K114:AB114"/>
  </mergeCells>
  <phoneticPr fontId="16" type="noConversion"/>
  <printOptions horizontalCentered="1"/>
  <pageMargins left="0.31486111879348755" right="0.31486111879348755" top="0.74750000238418579" bottom="0.55097222328186035" header="0.31486111879348755" footer="0.31486111879348755"/>
  <pageSetup paperSize="9" orientation="portrait"/>
  <headerFooter>
    <oddFooter>&amp;C&amp;"맑은 고딕,Regular"&amp;N페이지 중 &amp;P페이지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4"/>
  <sheetViews>
    <sheetView zoomScaleNormal="100" zoomScaleSheetLayoutView="75" workbookViewId="0">
      <selection activeCell="A5" sqref="A5"/>
    </sheetView>
  </sheetViews>
  <sheetFormatPr defaultColWidth="9" defaultRowHeight="20.100000000000001" customHeight="1" x14ac:dyDescent="0.3"/>
  <cols>
    <col min="1" max="1" width="21" style="1" customWidth="1"/>
    <col min="3" max="3" width="9.75" style="1" bestFit="1" customWidth="1"/>
    <col min="5" max="6" width="9.125" style="1" bestFit="1" customWidth="1"/>
    <col min="7" max="7" width="9.875" style="1" bestFit="1" customWidth="1"/>
    <col min="8" max="8" width="6.625" style="143" customWidth="1"/>
  </cols>
  <sheetData>
    <row r="1" spans="1:8" ht="20.100000000000001" customHeight="1" x14ac:dyDescent="0.3">
      <c r="A1" s="72" t="s">
        <v>391</v>
      </c>
      <c r="B1" s="72" t="s">
        <v>174</v>
      </c>
      <c r="C1" s="72" t="s">
        <v>435</v>
      </c>
      <c r="D1" s="72" t="s">
        <v>158</v>
      </c>
      <c r="E1" s="72" t="s">
        <v>68</v>
      </c>
      <c r="F1" s="72" t="s">
        <v>170</v>
      </c>
      <c r="G1" s="144" t="s">
        <v>163</v>
      </c>
      <c r="H1" s="147" t="s">
        <v>444</v>
      </c>
    </row>
    <row r="2" spans="1:8" ht="20.100000000000001" customHeight="1" x14ac:dyDescent="0.2">
      <c r="A2" s="139" t="s">
        <v>157</v>
      </c>
      <c r="B2" s="140" t="s">
        <v>445</v>
      </c>
      <c r="C2" s="141">
        <f>IFERROR(세출예산서!AC11/H2,"0")</f>
        <v>6210000</v>
      </c>
      <c r="D2" s="141">
        <f>세출예산서!$AC$28/(세출예산서!$W$11+세출예산서!$W$12+세출예산서!$W$13+세출예산서!$W$14)*세출예산서!W11</f>
        <v>0</v>
      </c>
      <c r="E2" s="141">
        <f>ROUNDUP((C2/12),-1)</f>
        <v>517500</v>
      </c>
      <c r="F2" s="141">
        <f>ROUNDUP((C2*4.5%),-1)+ROUNDUP((C2*4%),-1)+ROUNDUP((C2*0.9%),-1)+ROUNDUP((C2*0.8%),-1)</f>
        <v>633420</v>
      </c>
      <c r="G2" s="145">
        <f t="shared" ref="G2:G12" si="0">SUM(C2:E2)</f>
        <v>6727500</v>
      </c>
      <c r="H2" s="148">
        <f>세출예산서!W11</f>
        <v>1</v>
      </c>
    </row>
    <row r="3" spans="1:8" ht="20.100000000000001" customHeight="1" x14ac:dyDescent="0.2">
      <c r="A3" s="139" t="s">
        <v>198</v>
      </c>
      <c r="B3" s="140" t="s">
        <v>445</v>
      </c>
      <c r="C3" s="141" t="str">
        <f>IFERROR(세출예산서!AC12/H3,"0")</f>
        <v>0</v>
      </c>
      <c r="D3" s="141">
        <f>세출예산서!$AC$28/(세출예산서!$W$11+세출예산서!$W$12+세출예산서!$W$13+세출예산서!$W$14)*세출예산서!W12</f>
        <v>0</v>
      </c>
      <c r="E3" s="141">
        <f>ROUNDUP((C3/12),-1)</f>
        <v>0</v>
      </c>
      <c r="F3" s="141">
        <f>ROUNDUP((C3*4.5%),-1)+ROUNDUP((C3*4%),-1)+ROUNDUP((C3*0.9%),-1)+ROUNDUP((C3*0.8%),-1)</f>
        <v>0</v>
      </c>
      <c r="G3" s="145">
        <f t="shared" si="0"/>
        <v>0</v>
      </c>
      <c r="H3" s="148">
        <f>세출예산서!W12</f>
        <v>0</v>
      </c>
    </row>
    <row r="4" spans="1:8" ht="20.100000000000001" customHeight="1" x14ac:dyDescent="0.2">
      <c r="A4" s="139" t="s">
        <v>376</v>
      </c>
      <c r="B4" s="140" t="s">
        <v>445</v>
      </c>
      <c r="C4" s="141" t="str">
        <f>IFERROR(세출예산서!AC13/H4,"0")</f>
        <v>0</v>
      </c>
      <c r="D4" s="141">
        <f>세출예산서!$AC$28/(세출예산서!$W$11+세출예산서!$W$12+세출예산서!$W$13+세출예산서!$W$14)*세출예산서!W13</f>
        <v>0</v>
      </c>
      <c r="E4" s="141">
        <f>ROUNDUP((C4/12),-1)</f>
        <v>0</v>
      </c>
      <c r="F4" s="141">
        <f>ROUNDUP((C4*4.5%),-1)+ROUNDUP((C4*4%),-1)+ROUNDUP((C4*0.9%),-1)+ROUNDUP((C4*0.8%),-1)</f>
        <v>0</v>
      </c>
      <c r="G4" s="145">
        <f t="shared" si="0"/>
        <v>0</v>
      </c>
      <c r="H4" s="148">
        <f>세출예산서!W13</f>
        <v>0</v>
      </c>
    </row>
    <row r="5" spans="1:8" ht="20.100000000000001" customHeight="1" x14ac:dyDescent="0.2">
      <c r="A5" s="139" t="s">
        <v>147</v>
      </c>
      <c r="B5" s="140" t="s">
        <v>445</v>
      </c>
      <c r="C5" s="141">
        <f>IFERROR(세출예산서!AC14/H5,"0")</f>
        <v>1356000</v>
      </c>
      <c r="D5" s="141">
        <f>세출예산서!$AC$28/(세출예산서!$W$11+세출예산서!$W$12+세출예산서!$W$13+세출예산서!$W$14)</f>
        <v>0</v>
      </c>
      <c r="E5" s="141">
        <f>ROUNDUP((C5/12),-1)</f>
        <v>113000</v>
      </c>
      <c r="F5" s="141">
        <f>ROUNDUP((C5*4.5%),-1)+ROUNDUP((C5*4%),-1)+ROUNDUP((C5*0.9%),-1)+ROUNDUP((C5*0.8%),-1)</f>
        <v>138320</v>
      </c>
      <c r="G5" s="145">
        <f t="shared" si="0"/>
        <v>1469000</v>
      </c>
      <c r="H5" s="148">
        <f>세출예산서!W14</f>
        <v>15</v>
      </c>
    </row>
    <row r="6" spans="1:8" ht="20.100000000000001" customHeight="1" x14ac:dyDescent="0.2">
      <c r="A6" s="149" t="s">
        <v>155</v>
      </c>
      <c r="B6" s="150" t="s">
        <v>423</v>
      </c>
      <c r="C6" s="151">
        <f>IFERROR(세출예산서!AC18/H6,"0")</f>
        <v>6210000</v>
      </c>
      <c r="D6" s="152"/>
      <c r="E6" s="152"/>
      <c r="F6" s="152">
        <f>ROUNDUP((C6*4.5%),-1)+ROUNDUP((C6*4%),-1)</f>
        <v>527850</v>
      </c>
      <c r="G6" s="153">
        <f t="shared" si="0"/>
        <v>6210000</v>
      </c>
      <c r="H6" s="148">
        <f>세출예산서!W18</f>
        <v>1</v>
      </c>
    </row>
    <row r="7" spans="1:8" ht="20.100000000000001" customHeight="1" x14ac:dyDescent="0.2">
      <c r="A7" s="134" t="s">
        <v>196</v>
      </c>
      <c r="B7" s="135" t="s">
        <v>423</v>
      </c>
      <c r="C7" s="142" t="str">
        <f>IFERROR(세출예산서!AC19/H7,"0")</f>
        <v>0</v>
      </c>
      <c r="D7" s="136"/>
      <c r="E7" s="136">
        <f t="shared" ref="E7:E13" si="1">ROUNDUP((C7/12),-1)</f>
        <v>0</v>
      </c>
      <c r="F7" s="137">
        <f t="shared" ref="F7:F13" si="2">ROUNDUP((C7*4.5%),-1)+ROUNDUP((C7*4%),-1)+ROUNDUP((C7*0.9%),-1)+ROUNDUP((C7*0.8%),-1)</f>
        <v>0</v>
      </c>
      <c r="G7" s="146">
        <f t="shared" si="0"/>
        <v>0</v>
      </c>
      <c r="H7" s="148">
        <f>세출예산서!W19</f>
        <v>0</v>
      </c>
    </row>
    <row r="8" spans="1:8" ht="20.100000000000001" customHeight="1" x14ac:dyDescent="0.2">
      <c r="A8" s="134" t="s">
        <v>202</v>
      </c>
      <c r="B8" s="135" t="s">
        <v>423</v>
      </c>
      <c r="C8" s="142" t="str">
        <f>IFERROR(세출예산서!AC20/H8,"0")</f>
        <v>0</v>
      </c>
      <c r="D8" s="136"/>
      <c r="E8" s="136">
        <f t="shared" si="1"/>
        <v>0</v>
      </c>
      <c r="F8" s="137">
        <f t="shared" si="2"/>
        <v>0</v>
      </c>
      <c r="G8" s="146">
        <f t="shared" si="0"/>
        <v>0</v>
      </c>
      <c r="H8" s="148">
        <f>세출예산서!W20</f>
        <v>0</v>
      </c>
    </row>
    <row r="9" spans="1:8" ht="20.100000000000001" customHeight="1" x14ac:dyDescent="0.2">
      <c r="A9" s="134" t="s">
        <v>122</v>
      </c>
      <c r="B9" s="135" t="s">
        <v>423</v>
      </c>
      <c r="C9" s="142" t="str">
        <f>IFERROR(세출예산서!AC21/H9,"0")</f>
        <v>0</v>
      </c>
      <c r="D9" s="136"/>
      <c r="E9" s="136">
        <f t="shared" si="1"/>
        <v>0</v>
      </c>
      <c r="F9" s="137">
        <f t="shared" si="2"/>
        <v>0</v>
      </c>
      <c r="G9" s="146">
        <f t="shared" si="0"/>
        <v>0</v>
      </c>
      <c r="H9" s="148">
        <f>세출예산서!W21</f>
        <v>0</v>
      </c>
    </row>
    <row r="10" spans="1:8" ht="20.100000000000001" customHeight="1" x14ac:dyDescent="0.2">
      <c r="A10" s="134" t="s">
        <v>120</v>
      </c>
      <c r="B10" s="135" t="s">
        <v>423</v>
      </c>
      <c r="C10" s="142" t="str">
        <f>IFERROR(세출예산서!AC22/H10,"0")</f>
        <v>0</v>
      </c>
      <c r="D10" s="136"/>
      <c r="E10" s="136">
        <f t="shared" si="1"/>
        <v>0</v>
      </c>
      <c r="F10" s="137">
        <f t="shared" si="2"/>
        <v>0</v>
      </c>
      <c r="G10" s="146">
        <f t="shared" si="0"/>
        <v>0</v>
      </c>
      <c r="H10" s="148">
        <f>세출예산서!W22</f>
        <v>0</v>
      </c>
    </row>
    <row r="11" spans="1:8" ht="20.100000000000001" customHeight="1" x14ac:dyDescent="0.2">
      <c r="A11" s="134" t="s">
        <v>130</v>
      </c>
      <c r="B11" s="135" t="s">
        <v>423</v>
      </c>
      <c r="C11" s="142" t="str">
        <f>IFERROR(세출예산서!AC23/H11,"0")</f>
        <v>0</v>
      </c>
      <c r="D11" s="136"/>
      <c r="E11" s="136">
        <f t="shared" si="1"/>
        <v>0</v>
      </c>
      <c r="F11" s="137">
        <f t="shared" si="2"/>
        <v>0</v>
      </c>
      <c r="G11" s="146">
        <f t="shared" si="0"/>
        <v>0</v>
      </c>
      <c r="H11" s="148">
        <f>세출예산서!W23</f>
        <v>0</v>
      </c>
    </row>
    <row r="12" spans="1:8" ht="20.100000000000001" customHeight="1" x14ac:dyDescent="0.2">
      <c r="A12" s="134" t="s">
        <v>439</v>
      </c>
      <c r="B12" s="135" t="s">
        <v>423</v>
      </c>
      <c r="C12" s="142" t="str">
        <f>IFERROR(세출예산서!AC24/H12,"0")</f>
        <v>0</v>
      </c>
      <c r="D12" s="136"/>
      <c r="E12" s="136">
        <f t="shared" si="1"/>
        <v>0</v>
      </c>
      <c r="F12" s="137">
        <f t="shared" si="2"/>
        <v>0</v>
      </c>
      <c r="G12" s="146">
        <f t="shared" si="0"/>
        <v>0</v>
      </c>
      <c r="H12" s="148">
        <f>세출예산서!W24</f>
        <v>0</v>
      </c>
    </row>
    <row r="13" spans="1:8" ht="20.100000000000001" customHeight="1" x14ac:dyDescent="0.2">
      <c r="A13" s="134" t="s">
        <v>119</v>
      </c>
      <c r="B13" s="135" t="s">
        <v>423</v>
      </c>
      <c r="C13" s="142" t="str">
        <f>IFERROR(세출예산서!AC25/H13,"0")</f>
        <v>0</v>
      </c>
      <c r="D13" s="136"/>
      <c r="E13" s="136">
        <f t="shared" si="1"/>
        <v>0</v>
      </c>
      <c r="F13" s="137">
        <f t="shared" si="2"/>
        <v>0</v>
      </c>
      <c r="G13" s="146">
        <f>SUM(C13:E13)</f>
        <v>0</v>
      </c>
      <c r="H13" s="148">
        <f>세출예산서!W25</f>
        <v>0</v>
      </c>
    </row>
    <row r="14" spans="1:8" ht="20.100000000000001" customHeight="1" x14ac:dyDescent="0.3">
      <c r="H14" s="143">
        <f>SUM(H2:H13)</f>
        <v>17</v>
      </c>
    </row>
  </sheetData>
  <phoneticPr fontId="16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6"/>
  <sheetViews>
    <sheetView zoomScaleNormal="100" zoomScaleSheetLayoutView="75" workbookViewId="0">
      <pane ySplit="2" topLeftCell="A36" activePane="bottomLeft" state="frozen"/>
      <selection pane="bottomLeft" activeCell="Q48" sqref="Q48:R48"/>
    </sheetView>
  </sheetViews>
  <sheetFormatPr defaultColWidth="10.625" defaultRowHeight="20.100000000000001" customHeight="1" x14ac:dyDescent="0.3"/>
  <cols>
    <col min="1" max="1" width="4.625" style="110" customWidth="1"/>
    <col min="2" max="3" width="4.625" style="108" customWidth="1"/>
    <col min="4" max="4" width="5.625" style="108" customWidth="1"/>
    <col min="5" max="7" width="4.625" style="109" customWidth="1"/>
    <col min="8" max="8" width="5.625" style="109" customWidth="1"/>
    <col min="9" max="9" width="4.625" style="109" customWidth="1"/>
    <col min="10" max="10" width="4.625" style="110" customWidth="1"/>
    <col min="11" max="13" width="4.625" style="108" customWidth="1"/>
    <col min="14" max="18" width="4.625" style="109" customWidth="1"/>
    <col min="19" max="16384" width="10.625" style="108"/>
  </cols>
  <sheetData>
    <row r="1" spans="1:18" ht="20.100000000000001" customHeight="1" x14ac:dyDescent="0.3">
      <c r="A1" s="214" t="s">
        <v>460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3" spans="1:18" ht="20.100000000000001" customHeight="1" x14ac:dyDescent="0.3">
      <c r="A3" s="185" t="s">
        <v>421</v>
      </c>
      <c r="B3" s="185"/>
      <c r="C3" s="185"/>
      <c r="D3" s="185"/>
      <c r="E3" s="185"/>
      <c r="F3" s="185"/>
      <c r="G3" s="185"/>
      <c r="H3" s="185"/>
      <c r="I3" s="185"/>
      <c r="J3" s="185" t="s">
        <v>450</v>
      </c>
      <c r="K3" s="185"/>
      <c r="L3" s="185"/>
      <c r="M3" s="185"/>
      <c r="N3" s="185"/>
      <c r="O3" s="185"/>
      <c r="P3" s="185"/>
      <c r="Q3" s="185"/>
      <c r="R3" s="185"/>
    </row>
    <row r="4" spans="1:18" ht="20.100000000000001" customHeight="1" x14ac:dyDescent="0.3">
      <c r="A4" s="111" t="s">
        <v>448</v>
      </c>
      <c r="B4" s="184" t="s">
        <v>188</v>
      </c>
      <c r="C4" s="184"/>
      <c r="D4" s="184"/>
      <c r="E4" s="184" t="s">
        <v>412</v>
      </c>
      <c r="F4" s="184"/>
      <c r="G4" s="184"/>
      <c r="H4" s="183" t="s">
        <v>389</v>
      </c>
      <c r="I4" s="183"/>
      <c r="J4" s="111" t="s">
        <v>448</v>
      </c>
      <c r="K4" s="184" t="s">
        <v>188</v>
      </c>
      <c r="L4" s="184"/>
      <c r="M4" s="184"/>
      <c r="N4" s="184" t="s">
        <v>412</v>
      </c>
      <c r="O4" s="184"/>
      <c r="P4" s="184"/>
      <c r="Q4" s="183" t="s">
        <v>389</v>
      </c>
      <c r="R4" s="183"/>
    </row>
    <row r="5" spans="1:18" ht="20.100000000000001" customHeight="1" x14ac:dyDescent="0.3">
      <c r="A5" s="111">
        <v>1</v>
      </c>
      <c r="B5" s="180" t="s">
        <v>183</v>
      </c>
      <c r="C5" s="180"/>
      <c r="D5" s="180"/>
      <c r="E5" s="177">
        <f>세입예산서!$AC$7</f>
        <v>9540000</v>
      </c>
      <c r="F5" s="177"/>
      <c r="G5" s="177"/>
      <c r="H5" s="179">
        <f>IFERROR((E5/$E$15),"0%")</f>
        <v>0.15003538570417552</v>
      </c>
      <c r="I5" s="179"/>
      <c r="J5" s="111">
        <v>1</v>
      </c>
      <c r="K5" s="180" t="s">
        <v>385</v>
      </c>
      <c r="L5" s="180"/>
      <c r="M5" s="180"/>
      <c r="N5" s="177">
        <f>세출예산서!$AC$7</f>
        <v>43158450</v>
      </c>
      <c r="O5" s="177"/>
      <c r="P5" s="177"/>
      <c r="Q5" s="179">
        <f>IFERROR((N5/$N$15),"0%")</f>
        <v>0.98522070215703972</v>
      </c>
      <c r="R5" s="179"/>
    </row>
    <row r="6" spans="1:18" ht="20.100000000000001" customHeight="1" x14ac:dyDescent="0.3">
      <c r="A6" s="111">
        <v>2</v>
      </c>
      <c r="B6" s="180" t="s">
        <v>77</v>
      </c>
      <c r="C6" s="180"/>
      <c r="D6" s="180"/>
      <c r="E6" s="177">
        <f>세입예산서!$AC$17</f>
        <v>0</v>
      </c>
      <c r="F6" s="177"/>
      <c r="G6" s="177"/>
      <c r="H6" s="179">
        <f t="shared" ref="H6:H14" si="0">IFERROR((E6/$E$15),"0%")</f>
        <v>0</v>
      </c>
      <c r="I6" s="179"/>
      <c r="J6" s="111">
        <v>2</v>
      </c>
      <c r="K6" s="180" t="s">
        <v>97</v>
      </c>
      <c r="L6" s="180"/>
      <c r="M6" s="180"/>
      <c r="N6" s="177">
        <f>세출예산서!$AC$69</f>
        <v>200000</v>
      </c>
      <c r="O6" s="177"/>
      <c r="P6" s="177"/>
      <c r="Q6" s="179">
        <f t="shared" ref="Q6:Q14" si="1">IFERROR((N6/$N$15),"0%")</f>
        <v>4.5655981721171154E-3</v>
      </c>
      <c r="R6" s="179"/>
    </row>
    <row r="7" spans="1:18" ht="20.100000000000001" customHeight="1" x14ac:dyDescent="0.3">
      <c r="A7" s="111">
        <v>3</v>
      </c>
      <c r="B7" s="180" t="s">
        <v>75</v>
      </c>
      <c r="C7" s="180"/>
      <c r="D7" s="180"/>
      <c r="E7" s="177">
        <f>세입예산서!$AC$20</f>
        <v>0</v>
      </c>
      <c r="F7" s="177"/>
      <c r="G7" s="177"/>
      <c r="H7" s="179">
        <f t="shared" si="0"/>
        <v>0</v>
      </c>
      <c r="I7" s="179"/>
      <c r="J7" s="111">
        <v>3</v>
      </c>
      <c r="K7" s="180" t="s">
        <v>382</v>
      </c>
      <c r="L7" s="180"/>
      <c r="M7" s="180"/>
      <c r="N7" s="177">
        <f>세출예산서!$AC$74</f>
        <v>100000</v>
      </c>
      <c r="O7" s="177"/>
      <c r="P7" s="177"/>
      <c r="Q7" s="179">
        <f t="shared" si="1"/>
        <v>2.2827990860585577E-3</v>
      </c>
      <c r="R7" s="179"/>
    </row>
    <row r="8" spans="1:18" ht="20.100000000000001" customHeight="1" x14ac:dyDescent="0.3">
      <c r="A8" s="111">
        <v>4</v>
      </c>
      <c r="B8" s="180" t="s">
        <v>89</v>
      </c>
      <c r="C8" s="180"/>
      <c r="D8" s="180"/>
      <c r="E8" s="177">
        <f>세입예산서!$AC$23</f>
        <v>0</v>
      </c>
      <c r="F8" s="177"/>
      <c r="G8" s="177"/>
      <c r="H8" s="179">
        <f t="shared" si="0"/>
        <v>0</v>
      </c>
      <c r="I8" s="179"/>
      <c r="J8" s="111">
        <v>4</v>
      </c>
      <c r="K8" s="180" t="s">
        <v>381</v>
      </c>
      <c r="L8" s="180"/>
      <c r="M8" s="180"/>
      <c r="N8" s="177">
        <f>세출예산서!$AC$97</f>
        <v>0</v>
      </c>
      <c r="O8" s="177"/>
      <c r="P8" s="177"/>
      <c r="Q8" s="179">
        <f t="shared" si="1"/>
        <v>0</v>
      </c>
      <c r="R8" s="179"/>
    </row>
    <row r="9" spans="1:18" ht="20.100000000000001" customHeight="1" x14ac:dyDescent="0.3">
      <c r="A9" s="111">
        <v>5</v>
      </c>
      <c r="B9" s="180" t="s">
        <v>145</v>
      </c>
      <c r="C9" s="180"/>
      <c r="D9" s="180"/>
      <c r="E9" s="177">
        <f>세입예산서!$AC$32</f>
        <v>0</v>
      </c>
      <c r="F9" s="177"/>
      <c r="G9" s="177"/>
      <c r="H9" s="179">
        <f t="shared" si="0"/>
        <v>0</v>
      </c>
      <c r="I9" s="179"/>
      <c r="J9" s="111">
        <v>5</v>
      </c>
      <c r="K9" s="180" t="s">
        <v>95</v>
      </c>
      <c r="L9" s="180"/>
      <c r="M9" s="180"/>
      <c r="N9" s="177">
        <f>세출예산서!$AC$101</f>
        <v>0</v>
      </c>
      <c r="O9" s="177"/>
      <c r="P9" s="177"/>
      <c r="Q9" s="179">
        <f t="shared" si="1"/>
        <v>0</v>
      </c>
      <c r="R9" s="179"/>
    </row>
    <row r="10" spans="1:18" ht="20.100000000000001" customHeight="1" x14ac:dyDescent="0.3">
      <c r="A10" s="111">
        <v>6</v>
      </c>
      <c r="B10" s="180" t="s">
        <v>103</v>
      </c>
      <c r="C10" s="180"/>
      <c r="D10" s="180"/>
      <c r="E10" s="177">
        <f>세입예산서!$AC$36</f>
        <v>54045000</v>
      </c>
      <c r="F10" s="177"/>
      <c r="G10" s="177"/>
      <c r="H10" s="179">
        <f t="shared" si="0"/>
        <v>0.84996461429582448</v>
      </c>
      <c r="I10" s="179"/>
      <c r="J10" s="111">
        <v>6</v>
      </c>
      <c r="K10" s="180" t="s">
        <v>402</v>
      </c>
      <c r="L10" s="180"/>
      <c r="M10" s="180"/>
      <c r="N10" s="177">
        <f>세출예산서!$AC$104</f>
        <v>0</v>
      </c>
      <c r="O10" s="177"/>
      <c r="P10" s="177"/>
      <c r="Q10" s="179">
        <f t="shared" si="1"/>
        <v>0</v>
      </c>
      <c r="R10" s="179"/>
    </row>
    <row r="11" spans="1:18" ht="20.100000000000001" customHeight="1" x14ac:dyDescent="0.3">
      <c r="A11" s="111">
        <v>7</v>
      </c>
      <c r="B11" s="180" t="s">
        <v>387</v>
      </c>
      <c r="C11" s="180"/>
      <c r="D11" s="180"/>
      <c r="E11" s="177">
        <f>세입예산서!$AC$43</f>
        <v>0</v>
      </c>
      <c r="F11" s="177"/>
      <c r="G11" s="177"/>
      <c r="H11" s="179">
        <f t="shared" si="0"/>
        <v>0</v>
      </c>
      <c r="I11" s="179"/>
      <c r="J11" s="111">
        <v>7</v>
      </c>
      <c r="K11" s="180" t="s">
        <v>384</v>
      </c>
      <c r="L11" s="180"/>
      <c r="M11" s="180"/>
      <c r="N11" s="177">
        <f>세출예산서!$AC$108</f>
        <v>347420</v>
      </c>
      <c r="O11" s="177"/>
      <c r="P11" s="177"/>
      <c r="Q11" s="179">
        <f t="shared" si="1"/>
        <v>7.930900584784642E-3</v>
      </c>
      <c r="R11" s="179"/>
    </row>
    <row r="12" spans="1:18" ht="20.100000000000001" customHeight="1" x14ac:dyDescent="0.3">
      <c r="A12" s="111">
        <v>8</v>
      </c>
      <c r="B12" s="180" t="s">
        <v>395</v>
      </c>
      <c r="C12" s="180"/>
      <c r="D12" s="180"/>
      <c r="E12" s="177">
        <f>세입예산서!$AC$47</f>
        <v>0</v>
      </c>
      <c r="F12" s="177"/>
      <c r="G12" s="177"/>
      <c r="H12" s="179">
        <f t="shared" si="0"/>
        <v>0</v>
      </c>
      <c r="I12" s="179"/>
      <c r="J12" s="111">
        <v>8</v>
      </c>
      <c r="K12" s="180" t="s">
        <v>400</v>
      </c>
      <c r="L12" s="180"/>
      <c r="M12" s="180"/>
      <c r="N12" s="177">
        <f>세출예산서!$AC$111</f>
        <v>0</v>
      </c>
      <c r="O12" s="177"/>
      <c r="P12" s="177"/>
      <c r="Q12" s="179">
        <f t="shared" si="1"/>
        <v>0</v>
      </c>
      <c r="R12" s="179"/>
    </row>
    <row r="13" spans="1:18" ht="20.100000000000001" customHeight="1" x14ac:dyDescent="0.3">
      <c r="A13" s="111">
        <v>9</v>
      </c>
      <c r="B13" s="180" t="s">
        <v>411</v>
      </c>
      <c r="C13" s="180"/>
      <c r="D13" s="180"/>
      <c r="E13" s="177">
        <f>세입예산서!$AC$53</f>
        <v>0</v>
      </c>
      <c r="F13" s="177"/>
      <c r="G13" s="177"/>
      <c r="H13" s="179">
        <f t="shared" si="0"/>
        <v>0</v>
      </c>
      <c r="I13" s="179"/>
      <c r="J13" s="111">
        <v>9</v>
      </c>
      <c r="K13" s="180" t="s">
        <v>417</v>
      </c>
      <c r="L13" s="180"/>
      <c r="M13" s="180"/>
      <c r="N13" s="177">
        <f>세출예산서!$AC$117</f>
        <v>0</v>
      </c>
      <c r="O13" s="177"/>
      <c r="P13" s="177"/>
      <c r="Q13" s="179">
        <f t="shared" si="1"/>
        <v>0</v>
      </c>
      <c r="R13" s="179"/>
    </row>
    <row r="14" spans="1:18" ht="20.100000000000001" customHeight="1" x14ac:dyDescent="0.3">
      <c r="A14" s="111">
        <v>10</v>
      </c>
      <c r="B14" s="180" t="s">
        <v>383</v>
      </c>
      <c r="C14" s="180"/>
      <c r="D14" s="180"/>
      <c r="E14" s="177">
        <f>세입예산서!$AC$58</f>
        <v>0</v>
      </c>
      <c r="F14" s="177"/>
      <c r="G14" s="177"/>
      <c r="H14" s="179">
        <f t="shared" si="0"/>
        <v>0</v>
      </c>
      <c r="I14" s="179"/>
      <c r="J14" s="111">
        <v>10</v>
      </c>
      <c r="K14" s="180" t="s">
        <v>396</v>
      </c>
      <c r="L14" s="180"/>
      <c r="M14" s="180"/>
      <c r="N14" s="177">
        <f>세출예산서!$AC$118</f>
        <v>0</v>
      </c>
      <c r="O14" s="177"/>
      <c r="P14" s="177"/>
      <c r="Q14" s="179">
        <f t="shared" si="1"/>
        <v>0</v>
      </c>
      <c r="R14" s="179"/>
    </row>
    <row r="15" spans="1:18" ht="20.100000000000001" customHeight="1" x14ac:dyDescent="0.3">
      <c r="A15" s="181" t="s">
        <v>407</v>
      </c>
      <c r="B15" s="181"/>
      <c r="C15" s="181"/>
      <c r="D15" s="181"/>
      <c r="E15" s="182">
        <f>SUM(E5:E14)</f>
        <v>63585000</v>
      </c>
      <c r="F15" s="182"/>
      <c r="G15" s="182"/>
      <c r="H15" s="178">
        <f>SUM(H5:H14)</f>
        <v>1</v>
      </c>
      <c r="I15" s="178"/>
      <c r="J15" s="181" t="s">
        <v>407</v>
      </c>
      <c r="K15" s="181"/>
      <c r="L15" s="181"/>
      <c r="M15" s="181"/>
      <c r="N15" s="182">
        <f>SUM(N5:N14)</f>
        <v>43805870</v>
      </c>
      <c r="O15" s="182"/>
      <c r="P15" s="182"/>
      <c r="Q15" s="178">
        <f>SUM(Q5:Q14)</f>
        <v>1</v>
      </c>
      <c r="R15" s="178"/>
    </row>
    <row r="16" spans="1:18" ht="20.100000000000001" customHeight="1" x14ac:dyDescent="0.3">
      <c r="A16" s="217" t="s">
        <v>378</v>
      </c>
      <c r="B16" s="217"/>
      <c r="C16" s="217"/>
      <c r="D16" s="217"/>
      <c r="E16" s="215">
        <f>E15-세입예산서!$K$6</f>
        <v>0</v>
      </c>
      <c r="F16" s="216"/>
      <c r="G16" s="216"/>
      <c r="J16" s="217" t="s">
        <v>378</v>
      </c>
      <c r="K16" s="217"/>
      <c r="L16" s="217"/>
      <c r="M16" s="217"/>
      <c r="N16" s="215">
        <f>N15-세출예산서!K6</f>
        <v>0</v>
      </c>
      <c r="O16" s="216"/>
      <c r="P16" s="216"/>
    </row>
    <row r="17" spans="1:18" ht="20.100000000000001" customHeight="1" x14ac:dyDescent="0.3">
      <c r="B17" s="110"/>
      <c r="C17" s="110"/>
      <c r="D17" s="110"/>
      <c r="E17" s="175"/>
      <c r="F17" s="175"/>
      <c r="G17" s="175"/>
      <c r="J17" s="174" t="s">
        <v>9</v>
      </c>
      <c r="K17" s="174"/>
      <c r="L17" s="174"/>
      <c r="M17" s="174"/>
      <c r="N17" s="175">
        <f>세입예산서!AO2</f>
        <v>142177000</v>
      </c>
      <c r="O17" s="175"/>
      <c r="P17" s="175"/>
      <c r="Q17" s="175"/>
      <c r="R17" s="175"/>
    </row>
    <row r="18" spans="1:18" ht="20.100000000000001" customHeight="1" x14ac:dyDescent="0.3">
      <c r="B18" s="110"/>
      <c r="C18" s="110"/>
      <c r="D18" s="110"/>
      <c r="E18" s="118"/>
      <c r="K18" s="110"/>
      <c r="L18" s="110"/>
      <c r="M18" s="110"/>
      <c r="N18" s="118"/>
    </row>
    <row r="19" spans="1:18" ht="20.100000000000001" customHeight="1" x14ac:dyDescent="0.3">
      <c r="A19" s="176" t="s">
        <v>30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</row>
    <row r="20" spans="1:18" ht="20.100000000000001" customHeight="1" x14ac:dyDescent="0.3">
      <c r="A20" s="116"/>
      <c r="B20" s="192" t="s">
        <v>397</v>
      </c>
      <c r="C20" s="193"/>
      <c r="D20" s="194"/>
      <c r="E20" s="195" t="s">
        <v>386</v>
      </c>
      <c r="F20" s="196"/>
      <c r="G20" s="196"/>
      <c r="H20" s="197"/>
      <c r="I20" s="198" t="s">
        <v>416</v>
      </c>
      <c r="J20" s="198"/>
      <c r="K20" s="198"/>
      <c r="L20" s="198"/>
      <c r="M20" s="198" t="s">
        <v>412</v>
      </c>
      <c r="N20" s="198"/>
      <c r="O20" s="198"/>
      <c r="P20" s="198"/>
      <c r="Q20" s="198" t="s">
        <v>389</v>
      </c>
      <c r="R20" s="198"/>
    </row>
    <row r="21" spans="1:18" ht="20.100000000000001" customHeight="1" x14ac:dyDescent="0.3">
      <c r="A21" s="111">
        <v>1</v>
      </c>
      <c r="B21" s="199" t="s">
        <v>385</v>
      </c>
      <c r="C21" s="200"/>
      <c r="D21" s="121"/>
      <c r="E21" s="186" t="s">
        <v>424</v>
      </c>
      <c r="F21" s="187"/>
      <c r="G21" s="187"/>
      <c r="H21" s="188"/>
      <c r="I21" s="189" t="s">
        <v>267</v>
      </c>
      <c r="J21" s="189"/>
      <c r="K21" s="189"/>
      <c r="L21" s="189"/>
      <c r="M21" s="190">
        <f>세출예산서!$AC$10</f>
        <v>26550000</v>
      </c>
      <c r="N21" s="190"/>
      <c r="O21" s="190"/>
      <c r="P21" s="190"/>
      <c r="Q21" s="191">
        <f>IFERROR(M21/$E$15,"0")</f>
        <v>0.41755130927105449</v>
      </c>
      <c r="R21" s="191"/>
    </row>
    <row r="22" spans="1:18" ht="20.100000000000001" customHeight="1" x14ac:dyDescent="0.3">
      <c r="A22" s="111">
        <v>1</v>
      </c>
      <c r="B22" s="180"/>
      <c r="C22" s="180"/>
      <c r="D22" s="180"/>
      <c r="E22" s="202"/>
      <c r="F22" s="202"/>
      <c r="G22" s="202"/>
      <c r="H22" s="202"/>
      <c r="I22" s="189" t="s">
        <v>281</v>
      </c>
      <c r="J22" s="189"/>
      <c r="K22" s="189"/>
      <c r="L22" s="189"/>
      <c r="M22" s="190">
        <f>세출예산서!$AC$17</f>
        <v>6210000</v>
      </c>
      <c r="N22" s="190"/>
      <c r="O22" s="190"/>
      <c r="P22" s="190"/>
      <c r="Q22" s="191">
        <f t="shared" ref="Q22:Q28" si="2">IFERROR(M22/$E$15,"0")</f>
        <v>9.7664543524416142E-2</v>
      </c>
      <c r="R22" s="191"/>
    </row>
    <row r="23" spans="1:18" ht="20.100000000000001" customHeight="1" x14ac:dyDescent="0.3">
      <c r="A23" s="111">
        <v>1</v>
      </c>
      <c r="B23" s="199"/>
      <c r="C23" s="200"/>
      <c r="D23" s="201"/>
      <c r="E23" s="202"/>
      <c r="F23" s="202"/>
      <c r="G23" s="202"/>
      <c r="H23" s="202"/>
      <c r="I23" s="189" t="s">
        <v>372</v>
      </c>
      <c r="J23" s="189"/>
      <c r="K23" s="189"/>
      <c r="L23" s="189"/>
      <c r="M23" s="190">
        <f>세출예산서!$AC$28</f>
        <v>0</v>
      </c>
      <c r="N23" s="190"/>
      <c r="O23" s="190"/>
      <c r="P23" s="190"/>
      <c r="Q23" s="191">
        <f t="shared" si="2"/>
        <v>0</v>
      </c>
      <c r="R23" s="191"/>
    </row>
    <row r="24" spans="1:18" ht="20.100000000000001" customHeight="1" x14ac:dyDescent="0.3">
      <c r="A24" s="111">
        <v>1</v>
      </c>
      <c r="B24" s="199"/>
      <c r="C24" s="200"/>
      <c r="D24" s="201"/>
      <c r="E24" s="202"/>
      <c r="F24" s="202"/>
      <c r="G24" s="202"/>
      <c r="H24" s="202"/>
      <c r="I24" s="189" t="s">
        <v>368</v>
      </c>
      <c r="J24" s="189"/>
      <c r="K24" s="189"/>
      <c r="L24" s="189"/>
      <c r="M24" s="190">
        <f>세출예산서!$AC$29</f>
        <v>0</v>
      </c>
      <c r="N24" s="190"/>
      <c r="O24" s="190"/>
      <c r="P24" s="190"/>
      <c r="Q24" s="191">
        <f t="shared" si="2"/>
        <v>0</v>
      </c>
      <c r="R24" s="191"/>
    </row>
    <row r="25" spans="1:18" ht="20.100000000000001" customHeight="1" x14ac:dyDescent="0.3">
      <c r="A25" s="111">
        <v>1</v>
      </c>
      <c r="B25" s="199"/>
      <c r="C25" s="200"/>
      <c r="D25" s="201"/>
      <c r="E25" s="202"/>
      <c r="F25" s="202"/>
      <c r="G25" s="202"/>
      <c r="H25" s="202"/>
      <c r="I25" s="189" t="s">
        <v>367</v>
      </c>
      <c r="J25" s="189"/>
      <c r="K25" s="189"/>
      <c r="L25" s="189"/>
      <c r="M25" s="190">
        <f>세출예산서!$AC$31</f>
        <v>2212500</v>
      </c>
      <c r="N25" s="190"/>
      <c r="O25" s="190"/>
      <c r="P25" s="190"/>
      <c r="Q25" s="191">
        <f t="shared" si="2"/>
        <v>3.4795942439254539E-2</v>
      </c>
      <c r="R25" s="191"/>
    </row>
    <row r="26" spans="1:18" ht="20.100000000000001" customHeight="1" x14ac:dyDescent="0.3">
      <c r="A26" s="111">
        <v>1</v>
      </c>
      <c r="B26" s="199"/>
      <c r="C26" s="200"/>
      <c r="D26" s="201"/>
      <c r="E26" s="202"/>
      <c r="F26" s="202"/>
      <c r="G26" s="202"/>
      <c r="H26" s="202"/>
      <c r="I26" s="189" t="s">
        <v>351</v>
      </c>
      <c r="J26" s="189"/>
      <c r="K26" s="189"/>
      <c r="L26" s="189"/>
      <c r="M26" s="190">
        <f>세출예산서!$AC$32</f>
        <v>0</v>
      </c>
      <c r="N26" s="190"/>
      <c r="O26" s="190"/>
      <c r="P26" s="190"/>
      <c r="Q26" s="191">
        <f t="shared" si="2"/>
        <v>0</v>
      </c>
      <c r="R26" s="191"/>
    </row>
    <row r="27" spans="1:18" ht="20.100000000000001" customHeight="1" x14ac:dyDescent="0.3">
      <c r="A27" s="111">
        <v>1</v>
      </c>
      <c r="B27" s="199"/>
      <c r="C27" s="200"/>
      <c r="D27" s="201"/>
      <c r="E27" s="202"/>
      <c r="F27" s="202"/>
      <c r="G27" s="202"/>
      <c r="H27" s="202"/>
      <c r="I27" s="189" t="s">
        <v>360</v>
      </c>
      <c r="J27" s="189"/>
      <c r="K27" s="189"/>
      <c r="L27" s="189"/>
      <c r="M27" s="190">
        <f>세출예산서!$AC$34</f>
        <v>2708100</v>
      </c>
      <c r="N27" s="190"/>
      <c r="O27" s="190"/>
      <c r="P27" s="190"/>
      <c r="Q27" s="191">
        <f t="shared" si="2"/>
        <v>4.259023354564756E-2</v>
      </c>
      <c r="R27" s="191"/>
    </row>
    <row r="28" spans="1:18" ht="20.100000000000001" customHeight="1" x14ac:dyDescent="0.3">
      <c r="A28" s="111">
        <v>1</v>
      </c>
      <c r="B28" s="199"/>
      <c r="C28" s="200"/>
      <c r="D28" s="201"/>
      <c r="E28" s="202"/>
      <c r="F28" s="202"/>
      <c r="G28" s="202"/>
      <c r="H28" s="202"/>
      <c r="I28" s="189" t="s">
        <v>361</v>
      </c>
      <c r="J28" s="189"/>
      <c r="K28" s="189"/>
      <c r="L28" s="189"/>
      <c r="M28" s="190">
        <f>세출예산서!$AC$39</f>
        <v>527850</v>
      </c>
      <c r="N28" s="190"/>
      <c r="O28" s="190"/>
      <c r="P28" s="190"/>
      <c r="Q28" s="191">
        <f t="shared" si="2"/>
        <v>8.3014861995753721E-3</v>
      </c>
      <c r="R28" s="191"/>
    </row>
    <row r="29" spans="1:18" ht="20.100000000000001" customHeight="1" x14ac:dyDescent="0.3">
      <c r="A29" s="111">
        <v>1</v>
      </c>
      <c r="B29" s="199"/>
      <c r="C29" s="200"/>
      <c r="D29" s="201"/>
      <c r="E29" s="195" t="s">
        <v>200</v>
      </c>
      <c r="F29" s="196"/>
      <c r="G29" s="196"/>
      <c r="H29" s="197"/>
      <c r="I29" s="203" t="s">
        <v>209</v>
      </c>
      <c r="J29" s="203"/>
      <c r="K29" s="203"/>
      <c r="L29" s="203"/>
      <c r="M29" s="204">
        <f>ROUND(($E$15-$E$12)*Q29,-5)</f>
        <v>600000</v>
      </c>
      <c r="N29" s="204"/>
      <c r="O29" s="204"/>
      <c r="P29" s="204"/>
      <c r="Q29" s="205">
        <v>0.01</v>
      </c>
      <c r="R29" s="205"/>
    </row>
    <row r="30" spans="1:18" ht="20.100000000000001" customHeight="1" x14ac:dyDescent="0.3">
      <c r="A30" s="111">
        <v>1</v>
      </c>
      <c r="B30" s="199"/>
      <c r="C30" s="200"/>
      <c r="D30" s="201"/>
      <c r="E30" s="206"/>
      <c r="F30" s="206"/>
      <c r="G30" s="206"/>
      <c r="H30" s="206"/>
      <c r="I30" s="203" t="s">
        <v>204</v>
      </c>
      <c r="J30" s="203"/>
      <c r="K30" s="203"/>
      <c r="L30" s="203"/>
      <c r="M30" s="190">
        <f>세출예산서!$AC$49</f>
        <v>0</v>
      </c>
      <c r="N30" s="190"/>
      <c r="O30" s="190"/>
      <c r="P30" s="190"/>
      <c r="Q30" s="191">
        <f>IFERROR(M30/$E$15,"0")</f>
        <v>0</v>
      </c>
      <c r="R30" s="191"/>
    </row>
    <row r="31" spans="1:18" ht="20.100000000000001" customHeight="1" x14ac:dyDescent="0.3">
      <c r="A31" s="111">
        <v>1</v>
      </c>
      <c r="B31" s="199"/>
      <c r="C31" s="200"/>
      <c r="D31" s="201"/>
      <c r="E31" s="206"/>
      <c r="F31" s="206"/>
      <c r="G31" s="206"/>
      <c r="H31" s="206"/>
      <c r="I31" s="203" t="s">
        <v>405</v>
      </c>
      <c r="J31" s="203"/>
      <c r="K31" s="203"/>
      <c r="L31" s="203"/>
      <c r="M31" s="204">
        <f>ROUND(($E$15-$E$12)*Q31,-5)</f>
        <v>100000</v>
      </c>
      <c r="N31" s="204"/>
      <c r="O31" s="204"/>
      <c r="P31" s="204"/>
      <c r="Q31" s="205">
        <v>1E-3</v>
      </c>
      <c r="R31" s="205"/>
    </row>
    <row r="32" spans="1:18" ht="20.100000000000001" customHeight="1" x14ac:dyDescent="0.3">
      <c r="A32" s="111">
        <v>1</v>
      </c>
      <c r="B32" s="199"/>
      <c r="C32" s="200"/>
      <c r="D32" s="201"/>
      <c r="E32" s="186" t="s">
        <v>427</v>
      </c>
      <c r="F32" s="187"/>
      <c r="G32" s="187"/>
      <c r="H32" s="188"/>
      <c r="I32" s="189" t="s">
        <v>437</v>
      </c>
      <c r="J32" s="189"/>
      <c r="K32" s="189"/>
      <c r="L32" s="189"/>
      <c r="M32" s="204">
        <f>ROUND(($E$15-$E$12)*Q32,-5)</f>
        <v>0</v>
      </c>
      <c r="N32" s="204"/>
      <c r="O32" s="204"/>
      <c r="P32" s="204"/>
      <c r="Q32" s="205">
        <v>0</v>
      </c>
      <c r="R32" s="205"/>
    </row>
    <row r="33" spans="1:18" ht="20.100000000000001" customHeight="1" x14ac:dyDescent="0.3">
      <c r="A33" s="111">
        <v>1</v>
      </c>
      <c r="B33" s="199"/>
      <c r="C33" s="200"/>
      <c r="D33" s="201"/>
      <c r="E33" s="202"/>
      <c r="F33" s="202"/>
      <c r="G33" s="202"/>
      <c r="H33" s="202"/>
      <c r="I33" s="189" t="s">
        <v>210</v>
      </c>
      <c r="J33" s="189"/>
      <c r="K33" s="189"/>
      <c r="L33" s="189"/>
      <c r="M33" s="204">
        <f>ROUND(($E$15-$E$12)*Q33,-5)</f>
        <v>600000</v>
      </c>
      <c r="N33" s="204"/>
      <c r="O33" s="204"/>
      <c r="P33" s="204"/>
      <c r="Q33" s="205">
        <v>0.01</v>
      </c>
      <c r="R33" s="205"/>
    </row>
    <row r="34" spans="1:18" ht="20.100000000000001" customHeight="1" x14ac:dyDescent="0.3">
      <c r="A34" s="111">
        <v>1</v>
      </c>
      <c r="B34" s="199"/>
      <c r="C34" s="200"/>
      <c r="D34" s="201"/>
      <c r="E34" s="202"/>
      <c r="F34" s="202"/>
      <c r="G34" s="202"/>
      <c r="H34" s="202"/>
      <c r="I34" s="189" t="s">
        <v>373</v>
      </c>
      <c r="J34" s="189"/>
      <c r="K34" s="189"/>
      <c r="L34" s="189"/>
      <c r="M34" s="204">
        <f>ROUND(($E$15-$E$12)*Q34,-5)</f>
        <v>600000</v>
      </c>
      <c r="N34" s="204"/>
      <c r="O34" s="204"/>
      <c r="P34" s="204"/>
      <c r="Q34" s="205">
        <v>0.01</v>
      </c>
      <c r="R34" s="205"/>
    </row>
    <row r="35" spans="1:18" ht="20.100000000000001" customHeight="1" x14ac:dyDescent="0.3">
      <c r="A35" s="111">
        <v>1</v>
      </c>
      <c r="B35" s="199"/>
      <c r="C35" s="200"/>
      <c r="D35" s="201"/>
      <c r="E35" s="202"/>
      <c r="F35" s="202"/>
      <c r="G35" s="202"/>
      <c r="H35" s="202"/>
      <c r="I35" s="189" t="s">
        <v>452</v>
      </c>
      <c r="J35" s="189"/>
      <c r="K35" s="189"/>
      <c r="L35" s="189"/>
      <c r="M35" s="204">
        <f>ROUND(($E$15-$E$12)*Q35,-5)</f>
        <v>200000</v>
      </c>
      <c r="N35" s="204"/>
      <c r="O35" s="204"/>
      <c r="P35" s="204"/>
      <c r="Q35" s="205">
        <v>3.0000000000000001E-3</v>
      </c>
      <c r="R35" s="205"/>
    </row>
    <row r="36" spans="1:18" ht="20.100000000000001" customHeight="1" x14ac:dyDescent="0.3">
      <c r="A36" s="111">
        <v>1</v>
      </c>
      <c r="B36" s="199"/>
      <c r="C36" s="200"/>
      <c r="D36" s="201"/>
      <c r="E36" s="202"/>
      <c r="F36" s="202"/>
      <c r="G36" s="202"/>
      <c r="H36" s="202"/>
      <c r="I36" s="189" t="s">
        <v>449</v>
      </c>
      <c r="J36" s="189"/>
      <c r="K36" s="189"/>
      <c r="L36" s="189"/>
      <c r="M36" s="207">
        <f>세출예산서!$AC$65</f>
        <v>3300000</v>
      </c>
      <c r="N36" s="207"/>
      <c r="O36" s="207"/>
      <c r="P36" s="207"/>
      <c r="Q36" s="191">
        <f>IFERROR(M36/$E$15,"0")</f>
        <v>5.1899032790752538E-2</v>
      </c>
      <c r="R36" s="191"/>
    </row>
    <row r="37" spans="1:18" ht="20.100000000000001" customHeight="1" x14ac:dyDescent="0.3">
      <c r="A37" s="111">
        <v>1</v>
      </c>
      <c r="B37" s="199"/>
      <c r="C37" s="200"/>
      <c r="D37" s="201"/>
      <c r="E37" s="202"/>
      <c r="F37" s="202"/>
      <c r="G37" s="202"/>
      <c r="H37" s="202"/>
      <c r="I37" s="189" t="s">
        <v>182</v>
      </c>
      <c r="J37" s="189"/>
      <c r="K37" s="189"/>
      <c r="L37" s="189"/>
      <c r="M37" s="204">
        <f>ROUND(($E$15-$E$12)*Q37,-5)</f>
        <v>600000</v>
      </c>
      <c r="N37" s="204"/>
      <c r="O37" s="204"/>
      <c r="P37" s="204"/>
      <c r="Q37" s="205">
        <v>0.01</v>
      </c>
      <c r="R37" s="205"/>
    </row>
    <row r="38" spans="1:18" ht="20.100000000000001" customHeight="1" x14ac:dyDescent="0.3">
      <c r="A38" s="117">
        <v>2</v>
      </c>
      <c r="B38" s="212" t="s">
        <v>97</v>
      </c>
      <c r="C38" s="213"/>
      <c r="D38" s="120"/>
      <c r="E38" s="195" t="s">
        <v>438</v>
      </c>
      <c r="F38" s="196"/>
      <c r="G38" s="196"/>
      <c r="H38" s="197"/>
      <c r="I38" s="203" t="str">
        <f>E38</f>
        <v>시설비</v>
      </c>
      <c r="J38" s="203"/>
      <c r="K38" s="203"/>
      <c r="L38" s="203"/>
      <c r="M38" s="204">
        <f>ROUND(($E$15-$E$12)*Q38,-5)</f>
        <v>0</v>
      </c>
      <c r="N38" s="204"/>
      <c r="O38" s="204"/>
      <c r="P38" s="204"/>
      <c r="Q38" s="205">
        <v>0</v>
      </c>
      <c r="R38" s="205"/>
    </row>
    <row r="39" spans="1:18" ht="20.100000000000001" customHeight="1" x14ac:dyDescent="0.3">
      <c r="A39" s="117">
        <v>2</v>
      </c>
      <c r="B39" s="208"/>
      <c r="C39" s="208"/>
      <c r="D39" s="208"/>
      <c r="E39" s="195" t="s">
        <v>100</v>
      </c>
      <c r="F39" s="196"/>
      <c r="G39" s="196"/>
      <c r="H39" s="197"/>
      <c r="I39" s="209" t="s">
        <v>100</v>
      </c>
      <c r="J39" s="210"/>
      <c r="K39" s="210"/>
      <c r="L39" s="211"/>
      <c r="M39" s="204">
        <f>ROUND(($E$15-$E$12)*Q39,-5)</f>
        <v>200000</v>
      </c>
      <c r="N39" s="204"/>
      <c r="O39" s="204"/>
      <c r="P39" s="204"/>
      <c r="Q39" s="205">
        <v>3.0000000000000001E-3</v>
      </c>
      <c r="R39" s="205"/>
    </row>
    <row r="40" spans="1:18" ht="20.100000000000001" customHeight="1" x14ac:dyDescent="0.3">
      <c r="A40" s="117">
        <v>2</v>
      </c>
      <c r="B40" s="208"/>
      <c r="C40" s="208"/>
      <c r="D40" s="208"/>
      <c r="E40" s="195" t="s">
        <v>139</v>
      </c>
      <c r="F40" s="196"/>
      <c r="G40" s="196"/>
      <c r="H40" s="197"/>
      <c r="I40" s="209" t="s">
        <v>139</v>
      </c>
      <c r="J40" s="210"/>
      <c r="K40" s="210"/>
      <c r="L40" s="211"/>
      <c r="M40" s="204">
        <f>ROUND(($E$15-$E$12)*Q40,-5)</f>
        <v>0</v>
      </c>
      <c r="N40" s="204"/>
      <c r="O40" s="204"/>
      <c r="P40" s="204"/>
      <c r="Q40" s="205">
        <v>0</v>
      </c>
      <c r="R40" s="205"/>
    </row>
    <row r="41" spans="1:18" ht="20.100000000000001" customHeight="1" x14ac:dyDescent="0.3">
      <c r="A41" s="111">
        <v>3</v>
      </c>
      <c r="B41" s="199" t="s">
        <v>382</v>
      </c>
      <c r="C41" s="200"/>
      <c r="D41" s="119"/>
      <c r="E41" s="186" t="s">
        <v>427</v>
      </c>
      <c r="F41" s="187"/>
      <c r="G41" s="187"/>
      <c r="H41" s="188"/>
      <c r="I41" s="189" t="s">
        <v>394</v>
      </c>
      <c r="J41" s="189"/>
      <c r="K41" s="189"/>
      <c r="L41" s="189"/>
      <c r="M41" s="207">
        <f>세출예산서!$AC$76</f>
        <v>0</v>
      </c>
      <c r="N41" s="207"/>
      <c r="O41" s="207"/>
      <c r="P41" s="207"/>
      <c r="Q41" s="191">
        <f>IFERROR(M41/$E$15,"0")</f>
        <v>0</v>
      </c>
      <c r="R41" s="191"/>
    </row>
    <row r="42" spans="1:18" ht="20.100000000000001" customHeight="1" x14ac:dyDescent="0.3">
      <c r="A42" s="111">
        <v>3</v>
      </c>
      <c r="B42" s="180"/>
      <c r="C42" s="180"/>
      <c r="D42" s="180"/>
      <c r="E42" s="202"/>
      <c r="F42" s="202"/>
      <c r="G42" s="202"/>
      <c r="H42" s="202"/>
      <c r="I42" s="189" t="s">
        <v>206</v>
      </c>
      <c r="J42" s="189"/>
      <c r="K42" s="189"/>
      <c r="L42" s="189"/>
      <c r="M42" s="204">
        <f>ROUND(($E$15-$E$12)*Q42,-5)</f>
        <v>0</v>
      </c>
      <c r="N42" s="204"/>
      <c r="O42" s="204"/>
      <c r="P42" s="204"/>
      <c r="Q42" s="205">
        <v>0</v>
      </c>
      <c r="R42" s="205"/>
    </row>
    <row r="43" spans="1:18" ht="20.100000000000001" customHeight="1" x14ac:dyDescent="0.3">
      <c r="A43" s="111">
        <v>3</v>
      </c>
      <c r="B43" s="180"/>
      <c r="C43" s="180"/>
      <c r="D43" s="180"/>
      <c r="E43" s="202"/>
      <c r="F43" s="202"/>
      <c r="G43" s="202"/>
      <c r="H43" s="202"/>
      <c r="I43" s="189" t="s">
        <v>426</v>
      </c>
      <c r="J43" s="189"/>
      <c r="K43" s="189"/>
      <c r="L43" s="189"/>
      <c r="M43" s="204">
        <f>ROUND(($E$15-$E$12)*Q43,-5)</f>
        <v>0</v>
      </c>
      <c r="N43" s="204"/>
      <c r="O43" s="204"/>
      <c r="P43" s="204"/>
      <c r="Q43" s="205">
        <v>0</v>
      </c>
      <c r="R43" s="205"/>
    </row>
    <row r="44" spans="1:18" ht="20.100000000000001" customHeight="1" x14ac:dyDescent="0.3">
      <c r="A44" s="111">
        <v>3</v>
      </c>
      <c r="B44" s="180"/>
      <c r="C44" s="180"/>
      <c r="D44" s="180"/>
      <c r="E44" s="202"/>
      <c r="F44" s="202"/>
      <c r="G44" s="202"/>
      <c r="H44" s="202"/>
      <c r="I44" s="189" t="s">
        <v>189</v>
      </c>
      <c r="J44" s="189"/>
      <c r="K44" s="189"/>
      <c r="L44" s="189"/>
      <c r="M44" s="207">
        <f>세출예산서!$AC$86</f>
        <v>0</v>
      </c>
      <c r="N44" s="207"/>
      <c r="O44" s="207"/>
      <c r="P44" s="207"/>
      <c r="Q44" s="191">
        <f>IFERROR(M44/$E$15,"0")</f>
        <v>0</v>
      </c>
      <c r="R44" s="191"/>
    </row>
    <row r="45" spans="1:18" ht="20.100000000000001" customHeight="1" x14ac:dyDescent="0.3">
      <c r="A45" s="111">
        <v>3</v>
      </c>
      <c r="B45" s="180"/>
      <c r="C45" s="180"/>
      <c r="D45" s="180"/>
      <c r="E45" s="195" t="s">
        <v>382</v>
      </c>
      <c r="F45" s="196"/>
      <c r="G45" s="196"/>
      <c r="H45" s="197"/>
      <c r="I45" s="203" t="s">
        <v>187</v>
      </c>
      <c r="J45" s="203"/>
      <c r="K45" s="203"/>
      <c r="L45" s="203"/>
      <c r="M45" s="204">
        <f>ROUND(($E$15-$E$12)*Q45,-5)</f>
        <v>100000</v>
      </c>
      <c r="N45" s="204"/>
      <c r="O45" s="204"/>
      <c r="P45" s="204"/>
      <c r="Q45" s="205">
        <v>2E-3</v>
      </c>
      <c r="R45" s="205"/>
    </row>
    <row r="46" spans="1:18" ht="20.100000000000001" customHeight="1" x14ac:dyDescent="0.3">
      <c r="A46" s="111">
        <v>3</v>
      </c>
      <c r="B46" s="180"/>
      <c r="C46" s="180"/>
      <c r="D46" s="180"/>
      <c r="E46" s="186" t="s">
        <v>205</v>
      </c>
      <c r="F46" s="187"/>
      <c r="G46" s="187"/>
      <c r="H46" s="188"/>
      <c r="I46" s="189" t="s">
        <v>205</v>
      </c>
      <c r="J46" s="189"/>
      <c r="K46" s="189"/>
      <c r="L46" s="189"/>
      <c r="M46" s="204">
        <f>ROUND(($E$15-$E$12)*Q46,-5)</f>
        <v>0</v>
      </c>
      <c r="N46" s="204"/>
      <c r="O46" s="204"/>
      <c r="P46" s="204"/>
      <c r="Q46" s="205">
        <v>0</v>
      </c>
      <c r="R46" s="205"/>
    </row>
    <row r="47" spans="1:18" ht="20.100000000000001" customHeight="1" x14ac:dyDescent="0.3">
      <c r="A47" s="111">
        <v>3</v>
      </c>
      <c r="B47" s="180"/>
      <c r="C47" s="180"/>
      <c r="D47" s="180"/>
      <c r="E47" s="186" t="s">
        <v>214</v>
      </c>
      <c r="F47" s="187"/>
      <c r="G47" s="187"/>
      <c r="H47" s="188"/>
      <c r="I47" s="189" t="s">
        <v>214</v>
      </c>
      <c r="J47" s="189"/>
      <c r="K47" s="189"/>
      <c r="L47" s="189"/>
      <c r="M47" s="204">
        <f>ROUND(($E$15-$E$12)*Q47,-5)</f>
        <v>0</v>
      </c>
      <c r="N47" s="204"/>
      <c r="O47" s="204"/>
      <c r="P47" s="204"/>
      <c r="Q47" s="205">
        <v>0</v>
      </c>
      <c r="R47" s="205"/>
    </row>
    <row r="48" spans="1:18" ht="20.100000000000001" customHeight="1" x14ac:dyDescent="0.3">
      <c r="A48" s="117">
        <v>4</v>
      </c>
      <c r="B48" s="212" t="s">
        <v>381</v>
      </c>
      <c r="C48" s="213"/>
      <c r="D48" s="120"/>
      <c r="E48" s="195" t="s">
        <v>381</v>
      </c>
      <c r="F48" s="196"/>
      <c r="G48" s="196"/>
      <c r="H48" s="197"/>
      <c r="I48" s="203" t="s">
        <v>381</v>
      </c>
      <c r="J48" s="203"/>
      <c r="K48" s="203"/>
      <c r="L48" s="203"/>
      <c r="M48" s="204">
        <f>ROUND(($E$15-$E$12)*Q48,-5)</f>
        <v>0</v>
      </c>
      <c r="N48" s="204"/>
      <c r="O48" s="204"/>
      <c r="P48" s="204"/>
      <c r="Q48" s="205">
        <v>0</v>
      </c>
      <c r="R48" s="205"/>
    </row>
    <row r="49" spans="1:18" ht="20.100000000000001" customHeight="1" x14ac:dyDescent="0.3">
      <c r="A49" s="111">
        <v>5</v>
      </c>
      <c r="B49" s="199" t="s">
        <v>95</v>
      </c>
      <c r="C49" s="200"/>
      <c r="D49" s="119"/>
      <c r="E49" s="202" t="s">
        <v>95</v>
      </c>
      <c r="F49" s="202"/>
      <c r="G49" s="202"/>
      <c r="H49" s="202"/>
      <c r="I49" s="189" t="s">
        <v>95</v>
      </c>
      <c r="J49" s="189"/>
      <c r="K49" s="189"/>
      <c r="L49" s="189"/>
      <c r="M49" s="190">
        <f>세출예산서!AC103</f>
        <v>0</v>
      </c>
      <c r="N49" s="190"/>
      <c r="O49" s="190"/>
      <c r="P49" s="190"/>
      <c r="Q49" s="191">
        <f t="shared" ref="Q49:Q56" si="3">IFERROR(M49/$E$15,"0")</f>
        <v>0</v>
      </c>
      <c r="R49" s="191"/>
    </row>
    <row r="50" spans="1:18" ht="20.100000000000001" customHeight="1" x14ac:dyDescent="0.3">
      <c r="A50" s="117">
        <v>6</v>
      </c>
      <c r="B50" s="208" t="s">
        <v>402</v>
      </c>
      <c r="C50" s="208"/>
      <c r="D50" s="208"/>
      <c r="E50" s="206" t="s">
        <v>181</v>
      </c>
      <c r="F50" s="206"/>
      <c r="G50" s="206"/>
      <c r="H50" s="206"/>
      <c r="I50" s="209" t="s">
        <v>208</v>
      </c>
      <c r="J50" s="210"/>
      <c r="K50" s="210"/>
      <c r="L50" s="211"/>
      <c r="M50" s="190">
        <f>세출예산서!AC106</f>
        <v>0</v>
      </c>
      <c r="N50" s="190"/>
      <c r="O50" s="190"/>
      <c r="P50" s="190"/>
      <c r="Q50" s="191">
        <f t="shared" si="3"/>
        <v>0</v>
      </c>
      <c r="R50" s="191"/>
    </row>
    <row r="51" spans="1:18" ht="20.100000000000001" customHeight="1" x14ac:dyDescent="0.3">
      <c r="A51" s="117">
        <v>6</v>
      </c>
      <c r="B51" s="208" t="s">
        <v>402</v>
      </c>
      <c r="C51" s="208"/>
      <c r="D51" s="208"/>
      <c r="E51" s="206" t="s">
        <v>203</v>
      </c>
      <c r="F51" s="206"/>
      <c r="G51" s="206"/>
      <c r="H51" s="206"/>
      <c r="I51" s="209" t="s">
        <v>203</v>
      </c>
      <c r="J51" s="210"/>
      <c r="K51" s="210"/>
      <c r="L51" s="211"/>
      <c r="M51" s="190">
        <f>세출예산서!AC107</f>
        <v>0</v>
      </c>
      <c r="N51" s="190"/>
      <c r="O51" s="190"/>
      <c r="P51" s="190"/>
      <c r="Q51" s="191">
        <f t="shared" si="3"/>
        <v>0</v>
      </c>
      <c r="R51" s="191"/>
    </row>
    <row r="52" spans="1:18" ht="20.100000000000001" customHeight="1" x14ac:dyDescent="0.3">
      <c r="A52" s="111">
        <v>7</v>
      </c>
      <c r="B52" s="180" t="s">
        <v>384</v>
      </c>
      <c r="C52" s="180"/>
      <c r="D52" s="180"/>
      <c r="E52" s="202" t="s">
        <v>384</v>
      </c>
      <c r="F52" s="202"/>
      <c r="G52" s="202"/>
      <c r="H52" s="202"/>
      <c r="I52" s="189" t="s">
        <v>384</v>
      </c>
      <c r="J52" s="189"/>
      <c r="K52" s="189"/>
      <c r="L52" s="189"/>
      <c r="M52" s="204">
        <f>ROUND(($E$15-$E$12)*Q52,-5)</f>
        <v>0</v>
      </c>
      <c r="N52" s="204"/>
      <c r="O52" s="204"/>
      <c r="P52" s="204"/>
      <c r="Q52" s="205">
        <v>5.0000000000000001E-4</v>
      </c>
      <c r="R52" s="205"/>
    </row>
    <row r="53" spans="1:18" ht="20.100000000000001" customHeight="1" x14ac:dyDescent="0.3">
      <c r="A53" s="117">
        <v>8</v>
      </c>
      <c r="B53" s="208" t="s">
        <v>400</v>
      </c>
      <c r="C53" s="208"/>
      <c r="D53" s="208"/>
      <c r="E53" s="206" t="s">
        <v>400</v>
      </c>
      <c r="F53" s="206"/>
      <c r="G53" s="206"/>
      <c r="H53" s="206"/>
      <c r="I53" s="209" t="s">
        <v>400</v>
      </c>
      <c r="J53" s="210"/>
      <c r="K53" s="210"/>
      <c r="L53" s="211"/>
      <c r="M53" s="190">
        <f>세출예산서!AC113</f>
        <v>0</v>
      </c>
      <c r="N53" s="190"/>
      <c r="O53" s="190"/>
      <c r="P53" s="190"/>
      <c r="Q53" s="191">
        <f t="shared" si="3"/>
        <v>0</v>
      </c>
      <c r="R53" s="191"/>
    </row>
    <row r="54" spans="1:18" ht="20.100000000000001" customHeight="1" x14ac:dyDescent="0.3">
      <c r="A54" s="117">
        <v>8</v>
      </c>
      <c r="B54" s="208" t="s">
        <v>400</v>
      </c>
      <c r="C54" s="208"/>
      <c r="D54" s="208"/>
      <c r="E54" s="206" t="s">
        <v>422</v>
      </c>
      <c r="F54" s="206"/>
      <c r="G54" s="206"/>
      <c r="H54" s="206"/>
      <c r="I54" s="209" t="s">
        <v>422</v>
      </c>
      <c r="J54" s="210"/>
      <c r="K54" s="210"/>
      <c r="L54" s="211"/>
      <c r="M54" s="190">
        <f>세출예산서!AC114</f>
        <v>0</v>
      </c>
      <c r="N54" s="190"/>
      <c r="O54" s="190"/>
      <c r="P54" s="190"/>
      <c r="Q54" s="191">
        <f t="shared" si="3"/>
        <v>0</v>
      </c>
      <c r="R54" s="191"/>
    </row>
    <row r="55" spans="1:18" ht="20.100000000000001" customHeight="1" x14ac:dyDescent="0.3">
      <c r="A55" s="111">
        <v>9</v>
      </c>
      <c r="B55" s="180" t="s">
        <v>355</v>
      </c>
      <c r="C55" s="180"/>
      <c r="D55" s="180"/>
      <c r="E55" s="202" t="s">
        <v>123</v>
      </c>
      <c r="F55" s="202"/>
      <c r="G55" s="202"/>
      <c r="H55" s="202"/>
      <c r="I55" s="218" t="s">
        <v>123</v>
      </c>
      <c r="J55" s="219"/>
      <c r="K55" s="219"/>
      <c r="L55" s="220"/>
      <c r="M55" s="190">
        <f>세출예산서!AC117</f>
        <v>0</v>
      </c>
      <c r="N55" s="190"/>
      <c r="O55" s="190"/>
      <c r="P55" s="190"/>
      <c r="Q55" s="191">
        <f t="shared" si="3"/>
        <v>0</v>
      </c>
      <c r="R55" s="191"/>
    </row>
    <row r="56" spans="1:18" ht="20.100000000000001" customHeight="1" x14ac:dyDescent="0.3">
      <c r="A56" s="111">
        <v>9</v>
      </c>
      <c r="B56" s="180" t="s">
        <v>355</v>
      </c>
      <c r="C56" s="180"/>
      <c r="D56" s="180"/>
      <c r="E56" s="202" t="s">
        <v>371</v>
      </c>
      <c r="F56" s="202"/>
      <c r="G56" s="202"/>
      <c r="H56" s="202"/>
      <c r="I56" s="218" t="s">
        <v>371</v>
      </c>
      <c r="J56" s="219"/>
      <c r="K56" s="219"/>
      <c r="L56" s="220"/>
      <c r="M56" s="190">
        <f>세출예산서!AC118</f>
        <v>0</v>
      </c>
      <c r="N56" s="190"/>
      <c r="O56" s="190"/>
      <c r="P56" s="190"/>
      <c r="Q56" s="191">
        <f t="shared" si="3"/>
        <v>0</v>
      </c>
      <c r="R56" s="191"/>
    </row>
  </sheetData>
  <mergeCells count="268">
    <mergeCell ref="B48:C48"/>
    <mergeCell ref="B49:C49"/>
    <mergeCell ref="B56:D56"/>
    <mergeCell ref="E56:H56"/>
    <mergeCell ref="I56:L56"/>
    <mergeCell ref="M56:P56"/>
    <mergeCell ref="Q56:R56"/>
    <mergeCell ref="B55:D55"/>
    <mergeCell ref="E55:H55"/>
    <mergeCell ref="I55:L55"/>
    <mergeCell ref="M55:P55"/>
    <mergeCell ref="Q55:R55"/>
    <mergeCell ref="B54:D54"/>
    <mergeCell ref="E54:H54"/>
    <mergeCell ref="I54:L54"/>
    <mergeCell ref="M54:P54"/>
    <mergeCell ref="Q54:R54"/>
    <mergeCell ref="B53:D53"/>
    <mergeCell ref="E53:H53"/>
    <mergeCell ref="I53:L53"/>
    <mergeCell ref="M53:P53"/>
    <mergeCell ref="Q53:R53"/>
    <mergeCell ref="B52:D52"/>
    <mergeCell ref="E52:H52"/>
    <mergeCell ref="I52:L52"/>
    <mergeCell ref="M52:P52"/>
    <mergeCell ref="Q52:R52"/>
    <mergeCell ref="B51:D51"/>
    <mergeCell ref="E51:H51"/>
    <mergeCell ref="I51:L51"/>
    <mergeCell ref="M51:P51"/>
    <mergeCell ref="Q51:R51"/>
    <mergeCell ref="B50:D50"/>
    <mergeCell ref="E50:H50"/>
    <mergeCell ref="I50:L50"/>
    <mergeCell ref="M50:P50"/>
    <mergeCell ref="Q50:R50"/>
    <mergeCell ref="E49:H49"/>
    <mergeCell ref="I49:L49"/>
    <mergeCell ref="M49:P49"/>
    <mergeCell ref="Q49:R49"/>
    <mergeCell ref="A1:R1"/>
    <mergeCell ref="E48:H48"/>
    <mergeCell ref="I48:L48"/>
    <mergeCell ref="M48:P48"/>
    <mergeCell ref="Q48:R48"/>
    <mergeCell ref="E16:G16"/>
    <mergeCell ref="N16:P16"/>
    <mergeCell ref="A16:D16"/>
    <mergeCell ref="J16:M16"/>
    <mergeCell ref="B21:C21"/>
    <mergeCell ref="B47:D47"/>
    <mergeCell ref="E47:H47"/>
    <mergeCell ref="I47:L47"/>
    <mergeCell ref="M47:P47"/>
    <mergeCell ref="Q47:R47"/>
    <mergeCell ref="B46:D46"/>
    <mergeCell ref="E46:H46"/>
    <mergeCell ref="I46:L46"/>
    <mergeCell ref="M46:P46"/>
    <mergeCell ref="Q46:R46"/>
    <mergeCell ref="B45:D45"/>
    <mergeCell ref="E45:H45"/>
    <mergeCell ref="I45:L45"/>
    <mergeCell ref="M45:P45"/>
    <mergeCell ref="Q45:R45"/>
    <mergeCell ref="B44:D44"/>
    <mergeCell ref="E44:H44"/>
    <mergeCell ref="I44:L44"/>
    <mergeCell ref="M44:P44"/>
    <mergeCell ref="Q44:R44"/>
    <mergeCell ref="B43:D43"/>
    <mergeCell ref="E43:H43"/>
    <mergeCell ref="I43:L43"/>
    <mergeCell ref="M43:P43"/>
    <mergeCell ref="Q43:R43"/>
    <mergeCell ref="B42:D42"/>
    <mergeCell ref="E42:H42"/>
    <mergeCell ref="I42:L42"/>
    <mergeCell ref="M42:P42"/>
    <mergeCell ref="Q42:R42"/>
    <mergeCell ref="E41:H41"/>
    <mergeCell ref="I41:L41"/>
    <mergeCell ref="M41:P41"/>
    <mergeCell ref="Q41:R41"/>
    <mergeCell ref="B41:C41"/>
    <mergeCell ref="B40:D40"/>
    <mergeCell ref="E40:H40"/>
    <mergeCell ref="I40:L40"/>
    <mergeCell ref="M40:P40"/>
    <mergeCell ref="Q40:R40"/>
    <mergeCell ref="B39:D39"/>
    <mergeCell ref="E39:H39"/>
    <mergeCell ref="I39:L39"/>
    <mergeCell ref="M39:P39"/>
    <mergeCell ref="Q39:R39"/>
    <mergeCell ref="E38:H38"/>
    <mergeCell ref="I38:L38"/>
    <mergeCell ref="M38:P38"/>
    <mergeCell ref="Q38:R38"/>
    <mergeCell ref="B38:C38"/>
    <mergeCell ref="B37:D37"/>
    <mergeCell ref="E37:H37"/>
    <mergeCell ref="I37:L37"/>
    <mergeCell ref="M37:P37"/>
    <mergeCell ref="Q37:R37"/>
    <mergeCell ref="B36:D36"/>
    <mergeCell ref="E36:H36"/>
    <mergeCell ref="I36:L36"/>
    <mergeCell ref="M36:P36"/>
    <mergeCell ref="Q36:R36"/>
    <mergeCell ref="B35:D35"/>
    <mergeCell ref="E35:H35"/>
    <mergeCell ref="I35:L35"/>
    <mergeCell ref="M35:P35"/>
    <mergeCell ref="Q35:R35"/>
    <mergeCell ref="B34:D34"/>
    <mergeCell ref="E34:H34"/>
    <mergeCell ref="I34:L34"/>
    <mergeCell ref="M34:P34"/>
    <mergeCell ref="Q34:R34"/>
    <mergeCell ref="B33:D33"/>
    <mergeCell ref="E33:H33"/>
    <mergeCell ref="I33:L33"/>
    <mergeCell ref="M33:P33"/>
    <mergeCell ref="Q33:R33"/>
    <mergeCell ref="B32:D32"/>
    <mergeCell ref="E32:H32"/>
    <mergeCell ref="I32:L32"/>
    <mergeCell ref="M32:P32"/>
    <mergeCell ref="Q32:R32"/>
    <mergeCell ref="B31:D31"/>
    <mergeCell ref="E31:H31"/>
    <mergeCell ref="I31:L31"/>
    <mergeCell ref="M31:P31"/>
    <mergeCell ref="Q31:R31"/>
    <mergeCell ref="B30:D30"/>
    <mergeCell ref="E30:H30"/>
    <mergeCell ref="I30:L30"/>
    <mergeCell ref="M30:P30"/>
    <mergeCell ref="Q30:R30"/>
    <mergeCell ref="B29:D29"/>
    <mergeCell ref="E29:H29"/>
    <mergeCell ref="I29:L29"/>
    <mergeCell ref="M29:P29"/>
    <mergeCell ref="Q29:R29"/>
    <mergeCell ref="B28:D28"/>
    <mergeCell ref="E28:H28"/>
    <mergeCell ref="I28:L28"/>
    <mergeCell ref="M28:P28"/>
    <mergeCell ref="Q28:R28"/>
    <mergeCell ref="B27:D27"/>
    <mergeCell ref="E27:H27"/>
    <mergeCell ref="I27:L27"/>
    <mergeCell ref="M27:P27"/>
    <mergeCell ref="Q27:R27"/>
    <mergeCell ref="B26:D26"/>
    <mergeCell ref="E26:H26"/>
    <mergeCell ref="I26:L26"/>
    <mergeCell ref="M26:P26"/>
    <mergeCell ref="Q26:R26"/>
    <mergeCell ref="B25:D25"/>
    <mergeCell ref="E25:H25"/>
    <mergeCell ref="I25:L25"/>
    <mergeCell ref="M25:P25"/>
    <mergeCell ref="Q25:R25"/>
    <mergeCell ref="B24:D24"/>
    <mergeCell ref="E24:H24"/>
    <mergeCell ref="I24:L24"/>
    <mergeCell ref="M24:P24"/>
    <mergeCell ref="Q24:R24"/>
    <mergeCell ref="B23:D23"/>
    <mergeCell ref="E23:H23"/>
    <mergeCell ref="I23:L23"/>
    <mergeCell ref="M23:P23"/>
    <mergeCell ref="Q23:R23"/>
    <mergeCell ref="B22:D22"/>
    <mergeCell ref="E22:H22"/>
    <mergeCell ref="I22:L22"/>
    <mergeCell ref="M22:P22"/>
    <mergeCell ref="Q22:R22"/>
    <mergeCell ref="E21:H21"/>
    <mergeCell ref="I21:L21"/>
    <mergeCell ref="M21:P21"/>
    <mergeCell ref="Q21:R21"/>
    <mergeCell ref="B20:D20"/>
    <mergeCell ref="E20:H20"/>
    <mergeCell ref="I20:L20"/>
    <mergeCell ref="M20:P20"/>
    <mergeCell ref="Q20:R20"/>
    <mergeCell ref="A3:I3"/>
    <mergeCell ref="J3:R3"/>
    <mergeCell ref="K14:M14"/>
    <mergeCell ref="N14:P14"/>
    <mergeCell ref="Q14:R14"/>
    <mergeCell ref="K10:M10"/>
    <mergeCell ref="N10:P10"/>
    <mergeCell ref="Q10:R10"/>
    <mergeCell ref="K11:M11"/>
    <mergeCell ref="N11:P11"/>
    <mergeCell ref="Q11:R11"/>
    <mergeCell ref="K8:M8"/>
    <mergeCell ref="N8:P8"/>
    <mergeCell ref="Q8:R8"/>
    <mergeCell ref="K9:M9"/>
    <mergeCell ref="N9:P9"/>
    <mergeCell ref="E8:G8"/>
    <mergeCell ref="H7:I7"/>
    <mergeCell ref="H8:I8"/>
    <mergeCell ref="B4:D4"/>
    <mergeCell ref="B5:D5"/>
    <mergeCell ref="E4:G4"/>
    <mergeCell ref="E13:G13"/>
    <mergeCell ref="E14:G14"/>
    <mergeCell ref="H4:I4"/>
    <mergeCell ref="H13:I13"/>
    <mergeCell ref="H14:I14"/>
    <mergeCell ref="H5:I5"/>
    <mergeCell ref="H6:I6"/>
    <mergeCell ref="E12:G12"/>
    <mergeCell ref="K4:M4"/>
    <mergeCell ref="N4:P4"/>
    <mergeCell ref="Q4:R4"/>
    <mergeCell ref="K5:M5"/>
    <mergeCell ref="N5:P5"/>
    <mergeCell ref="Q5:R5"/>
    <mergeCell ref="H10:I10"/>
    <mergeCell ref="H11:I11"/>
    <mergeCell ref="H12:I12"/>
    <mergeCell ref="K12:M12"/>
    <mergeCell ref="N12:P12"/>
    <mergeCell ref="Q12:R12"/>
    <mergeCell ref="E5:G5"/>
    <mergeCell ref="E6:G6"/>
    <mergeCell ref="E7:G7"/>
    <mergeCell ref="B6:D6"/>
    <mergeCell ref="B7:D7"/>
    <mergeCell ref="B8:D8"/>
    <mergeCell ref="B9:D9"/>
    <mergeCell ref="E11:G11"/>
    <mergeCell ref="J15:M15"/>
    <mergeCell ref="N15:P15"/>
    <mergeCell ref="Q15:R15"/>
    <mergeCell ref="K6:M6"/>
    <mergeCell ref="N6:P6"/>
    <mergeCell ref="Q6:R6"/>
    <mergeCell ref="K7:M7"/>
    <mergeCell ref="N7:P7"/>
    <mergeCell ref="Q7:R7"/>
    <mergeCell ref="J17:M17"/>
    <mergeCell ref="N17:R17"/>
    <mergeCell ref="A19:R19"/>
    <mergeCell ref="E9:G9"/>
    <mergeCell ref="E10:G10"/>
    <mergeCell ref="H15:I15"/>
    <mergeCell ref="H9:I9"/>
    <mergeCell ref="K13:M13"/>
    <mergeCell ref="N13:P13"/>
    <mergeCell ref="Q13:R13"/>
    <mergeCell ref="Q9:R9"/>
    <mergeCell ref="E17:G17"/>
    <mergeCell ref="A15:D15"/>
    <mergeCell ref="E15:G15"/>
    <mergeCell ref="B11:D11"/>
    <mergeCell ref="B13:D13"/>
    <mergeCell ref="B14:D14"/>
    <mergeCell ref="B12:D12"/>
    <mergeCell ref="B10:D10"/>
  </mergeCells>
  <phoneticPr fontId="16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4"/>
  <sheetViews>
    <sheetView zoomScaleNormal="100" zoomScaleSheetLayoutView="75" workbookViewId="0">
      <pane ySplit="1" topLeftCell="A2" activePane="bottomLeft" state="frozen"/>
      <selection pane="bottomLeft" activeCell="B10" sqref="B10"/>
    </sheetView>
  </sheetViews>
  <sheetFormatPr defaultColWidth="10.625" defaultRowHeight="20.100000000000001" customHeight="1" x14ac:dyDescent="0.3"/>
  <cols>
    <col min="1" max="1" width="22.5" style="77" bestFit="1" customWidth="1"/>
    <col min="2" max="2" width="10.625" style="77"/>
    <col min="3" max="3" width="10.625" style="84"/>
    <col min="4" max="4" width="20" style="76" bestFit="1" customWidth="1"/>
    <col min="5" max="16384" width="10.625" style="77"/>
  </cols>
  <sheetData>
    <row r="1" spans="1:4" ht="20.100000000000001" customHeight="1" x14ac:dyDescent="0.3">
      <c r="A1" s="221" t="s">
        <v>16</v>
      </c>
      <c r="B1" s="221"/>
      <c r="C1" s="155"/>
    </row>
    <row r="3" spans="1:4" ht="20.100000000000001" customHeight="1" x14ac:dyDescent="0.3">
      <c r="A3" s="74" t="s">
        <v>98</v>
      </c>
      <c r="B3" s="78">
        <f>'수가정보 및 인건비비율'!D9</f>
        <v>0.871</v>
      </c>
      <c r="C3" s="158"/>
      <c r="D3" s="159" t="s">
        <v>29</v>
      </c>
    </row>
    <row r="4" spans="1:4" ht="20.100000000000001" customHeight="1" x14ac:dyDescent="0.3">
      <c r="A4" s="74" t="s">
        <v>319</v>
      </c>
      <c r="B4" s="79">
        <f>세입예산서!$AC$9+세입예산서!$AC$37</f>
        <v>63585000</v>
      </c>
      <c r="C4" s="160" t="s">
        <v>148</v>
      </c>
      <c r="D4" s="161">
        <f>세출예산서!AC11+세출예산서!AC12+세출예산서!AC13</f>
        <v>6210000</v>
      </c>
    </row>
    <row r="5" spans="1:4" ht="20.100000000000001" customHeight="1" x14ac:dyDescent="0.3">
      <c r="A5" s="74" t="s">
        <v>338</v>
      </c>
      <c r="B5" s="79">
        <f>B4*$B$3</f>
        <v>55382535</v>
      </c>
      <c r="C5" s="162" t="s">
        <v>170</v>
      </c>
      <c r="D5" s="161">
        <f>ROUND(D4*10%,-1)</f>
        <v>621000</v>
      </c>
    </row>
    <row r="6" spans="1:4" ht="20.100000000000001" customHeight="1" x14ac:dyDescent="0.3">
      <c r="A6" s="80" t="s">
        <v>47</v>
      </c>
      <c r="B6" s="79">
        <f>B5-D7</f>
        <v>48036105</v>
      </c>
      <c r="C6" s="162" t="s">
        <v>68</v>
      </c>
      <c r="D6" s="161">
        <f>ROUND(D4*8.3%,-1)</f>
        <v>515430</v>
      </c>
    </row>
    <row r="7" spans="1:4" ht="20.100000000000001" customHeight="1" x14ac:dyDescent="0.3">
      <c r="A7" s="82" t="s">
        <v>343</v>
      </c>
      <c r="B7" s="79">
        <f>(B6/(100+10+8.3))*100</f>
        <v>40605329.670329675</v>
      </c>
      <c r="C7" s="162" t="s">
        <v>407</v>
      </c>
      <c r="D7" s="161">
        <f>SUM(D4:D6)</f>
        <v>7346430</v>
      </c>
    </row>
    <row r="8" spans="1:4" ht="20.100000000000001" customHeight="1" x14ac:dyDescent="0.3">
      <c r="A8" s="80" t="s">
        <v>6</v>
      </c>
      <c r="B8" s="79">
        <f>B7/예산서사전준비!E38</f>
        <v>2707021.9780219784</v>
      </c>
      <c r="C8" s="60"/>
      <c r="D8" s="83"/>
    </row>
    <row r="9" spans="1:4" ht="20.100000000000001" customHeight="1" x14ac:dyDescent="0.3">
      <c r="A9" s="80" t="s">
        <v>461</v>
      </c>
      <c r="B9" s="81"/>
    </row>
    <row r="10" spans="1:4" ht="20.100000000000001" customHeight="1" x14ac:dyDescent="0.3">
      <c r="A10" s="156" t="s">
        <v>467</v>
      </c>
      <c r="B10" s="157">
        <f>ROUNDUP(B8/예산서사전준비!$D$3,-3)</f>
        <v>452000</v>
      </c>
    </row>
    <row r="11" spans="1:4" ht="20.100000000000001" customHeight="1" x14ac:dyDescent="0.3">
      <c r="B11" s="85"/>
    </row>
    <row r="12" spans="1:4" ht="20.100000000000001" customHeight="1" x14ac:dyDescent="0.3">
      <c r="B12" s="85"/>
      <c r="C12" s="15"/>
      <c r="D12" s="30"/>
    </row>
    <row r="13" spans="1:4" ht="20.100000000000001" customHeight="1" x14ac:dyDescent="0.3">
      <c r="B13" s="85"/>
      <c r="C13" s="15"/>
      <c r="D13" s="15"/>
    </row>
    <row r="14" spans="1:4" ht="20.100000000000001" customHeight="1" x14ac:dyDescent="0.3">
      <c r="B14" s="85"/>
      <c r="C14" s="15"/>
      <c r="D14" s="15"/>
    </row>
    <row r="15" spans="1:4" ht="20.100000000000001" customHeight="1" x14ac:dyDescent="0.3">
      <c r="B15" s="85"/>
      <c r="C15" s="15"/>
      <c r="D15" s="15"/>
    </row>
    <row r="16" spans="1:4" ht="20.100000000000001" customHeight="1" x14ac:dyDescent="0.3">
      <c r="B16" s="85"/>
      <c r="C16" s="15"/>
      <c r="D16" s="15"/>
    </row>
    <row r="17" spans="2:4" ht="20.100000000000001" customHeight="1" x14ac:dyDescent="0.3">
      <c r="B17" s="85"/>
      <c r="C17" s="15"/>
      <c r="D17" s="15"/>
    </row>
    <row r="18" spans="2:4" ht="20.100000000000001" customHeight="1" x14ac:dyDescent="0.3">
      <c r="B18" s="85"/>
      <c r="C18" s="15"/>
      <c r="D18" s="15"/>
    </row>
    <row r="19" spans="2:4" ht="20.100000000000001" customHeight="1" x14ac:dyDescent="0.3">
      <c r="B19" s="85"/>
      <c r="C19" s="15"/>
      <c r="D19" s="15"/>
    </row>
    <row r="20" spans="2:4" ht="20.100000000000001" customHeight="1" x14ac:dyDescent="0.3">
      <c r="B20" s="85"/>
      <c r="C20" s="15"/>
      <c r="D20" s="15"/>
    </row>
    <row r="21" spans="2:4" ht="20.100000000000001" customHeight="1" x14ac:dyDescent="0.3">
      <c r="B21" s="85"/>
      <c r="C21" s="15"/>
      <c r="D21" s="15"/>
    </row>
    <row r="22" spans="2:4" ht="20.100000000000001" customHeight="1" x14ac:dyDescent="0.3">
      <c r="B22" s="85"/>
      <c r="C22" s="15"/>
      <c r="D22" s="15"/>
    </row>
    <row r="23" spans="2:4" ht="20.100000000000001" customHeight="1" x14ac:dyDescent="0.3">
      <c r="B23" s="85"/>
      <c r="C23" s="15"/>
      <c r="D23" s="15"/>
    </row>
    <row r="24" spans="2:4" ht="20.100000000000001" customHeight="1" x14ac:dyDescent="0.3">
      <c r="B24" s="85"/>
      <c r="C24" s="15"/>
      <c r="D24" s="15"/>
    </row>
    <row r="25" spans="2:4" ht="20.100000000000001" customHeight="1" x14ac:dyDescent="0.3">
      <c r="B25" s="85"/>
      <c r="C25" s="15"/>
      <c r="D25" s="15"/>
    </row>
    <row r="26" spans="2:4" ht="20.100000000000001" customHeight="1" x14ac:dyDescent="0.3">
      <c r="B26" s="85"/>
      <c r="C26" s="15"/>
      <c r="D26" s="15"/>
    </row>
    <row r="27" spans="2:4" ht="20.100000000000001" customHeight="1" x14ac:dyDescent="0.3">
      <c r="B27" s="85"/>
      <c r="C27" s="15"/>
      <c r="D27" s="15"/>
    </row>
    <row r="28" spans="2:4" ht="20.100000000000001" customHeight="1" x14ac:dyDescent="0.3">
      <c r="B28" s="85"/>
      <c r="C28" s="15"/>
      <c r="D28" s="15"/>
    </row>
    <row r="29" spans="2:4" ht="20.100000000000001" customHeight="1" x14ac:dyDescent="0.3">
      <c r="B29" s="85"/>
      <c r="D29" s="15"/>
    </row>
    <row r="30" spans="2:4" ht="20.100000000000001" customHeight="1" x14ac:dyDescent="0.3">
      <c r="B30" s="85"/>
    </row>
    <row r="31" spans="2:4" ht="20.100000000000001" customHeight="1" x14ac:dyDescent="0.3">
      <c r="B31" s="85"/>
    </row>
    <row r="32" spans="2:4" ht="20.100000000000001" customHeight="1" x14ac:dyDescent="0.3">
      <c r="B32" s="85"/>
    </row>
    <row r="33" spans="2:2" ht="20.100000000000001" customHeight="1" x14ac:dyDescent="0.3">
      <c r="B33" s="85"/>
    </row>
    <row r="34" spans="2:2" ht="20.100000000000001" customHeight="1" x14ac:dyDescent="0.3">
      <c r="B34" s="85"/>
    </row>
  </sheetData>
  <mergeCells count="1">
    <mergeCell ref="A1:B1"/>
  </mergeCells>
  <phoneticPr fontId="16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4"/>
  <sheetViews>
    <sheetView topLeftCell="A33" zoomScaleNormal="100" zoomScaleSheetLayoutView="75" workbookViewId="0">
      <selection activeCell="Z39" sqref="Z39"/>
    </sheetView>
  </sheetViews>
  <sheetFormatPr defaultColWidth="9" defaultRowHeight="17.100000000000001" customHeight="1" x14ac:dyDescent="0.3"/>
  <cols>
    <col min="1" max="8" width="9.625" style="52" customWidth="1"/>
    <col min="9" max="16384" width="9" style="52"/>
  </cols>
  <sheetData>
    <row r="1" spans="1:10" ht="20.25" x14ac:dyDescent="0.3">
      <c r="A1" s="222" t="s">
        <v>12</v>
      </c>
      <c r="B1" s="222"/>
      <c r="C1" s="222"/>
      <c r="D1" s="222"/>
      <c r="E1" s="222"/>
      <c r="F1" s="222"/>
      <c r="G1" s="222"/>
      <c r="H1" s="222"/>
    </row>
    <row r="2" spans="1:10" ht="20.25" x14ac:dyDescent="0.3">
      <c r="A2" s="62"/>
      <c r="B2" s="62"/>
      <c r="C2" s="62"/>
      <c r="D2" s="62"/>
      <c r="E2" s="62"/>
      <c r="F2" s="62"/>
      <c r="G2" s="62"/>
      <c r="H2" s="62"/>
    </row>
    <row r="3" spans="1:10" ht="20.25" x14ac:dyDescent="0.3">
      <c r="A3" s="67" t="s">
        <v>216</v>
      </c>
      <c r="B3" s="68">
        <v>2024</v>
      </c>
      <c r="C3" s="67" t="s">
        <v>409</v>
      </c>
      <c r="D3" s="68">
        <v>6</v>
      </c>
      <c r="E3" s="62"/>
      <c r="F3" s="62"/>
      <c r="G3" s="62"/>
      <c r="H3" s="62"/>
    </row>
    <row r="4" spans="1:10" ht="20.25" x14ac:dyDescent="0.3">
      <c r="A4" s="67" t="s">
        <v>411</v>
      </c>
      <c r="B4" s="69">
        <v>0</v>
      </c>
      <c r="C4" s="67" t="s">
        <v>197</v>
      </c>
      <c r="D4" s="69"/>
      <c r="E4" s="62"/>
      <c r="F4" s="62"/>
      <c r="G4" s="62"/>
      <c r="H4" s="62"/>
    </row>
    <row r="5" spans="1:10" ht="20.25" x14ac:dyDescent="0.3">
      <c r="A5" s="62"/>
      <c r="B5" s="62"/>
      <c r="C5" s="62"/>
      <c r="D5" s="62"/>
      <c r="E5" s="62"/>
      <c r="F5" s="62"/>
      <c r="G5" s="62"/>
      <c r="H5" s="62"/>
    </row>
    <row r="6" spans="1:10" s="53" customFormat="1" ht="15.95" customHeight="1" x14ac:dyDescent="0.3">
      <c r="A6" s="223" t="s">
        <v>268</v>
      </c>
      <c r="B6" s="223"/>
      <c r="C6" s="223"/>
      <c r="D6" s="223"/>
      <c r="E6" s="223"/>
      <c r="F6" s="223"/>
      <c r="G6" s="223"/>
      <c r="H6" s="223"/>
    </row>
    <row r="7" spans="1:10" s="53" customFormat="1" ht="15.95" customHeight="1" x14ac:dyDescent="0.3">
      <c r="A7" s="54" t="s">
        <v>404</v>
      </c>
      <c r="B7" s="224" t="s">
        <v>366</v>
      </c>
      <c r="C7" s="225"/>
      <c r="D7" s="226"/>
      <c r="E7" s="54" t="s">
        <v>162</v>
      </c>
      <c r="F7" s="224"/>
      <c r="G7" s="225"/>
      <c r="H7" s="226"/>
    </row>
    <row r="8" spans="1:10" s="53" customFormat="1" ht="15.95" customHeight="1" x14ac:dyDescent="0.3">
      <c r="A8" s="54" t="s">
        <v>177</v>
      </c>
      <c r="B8" s="227"/>
      <c r="C8" s="228"/>
      <c r="D8" s="229" t="s">
        <v>235</v>
      </c>
      <c r="E8" s="229"/>
      <c r="F8" s="229"/>
      <c r="G8" s="229"/>
      <c r="H8" s="230"/>
    </row>
    <row r="9" spans="1:10" s="53" customFormat="1" ht="15.95" customHeight="1" x14ac:dyDescent="0.3">
      <c r="A9" s="54" t="s">
        <v>126</v>
      </c>
      <c r="B9" s="227"/>
      <c r="C9" s="228"/>
      <c r="D9" s="229" t="s">
        <v>480</v>
      </c>
      <c r="E9" s="229"/>
      <c r="F9" s="229"/>
      <c r="G9" s="229"/>
      <c r="H9" s="230"/>
    </row>
    <row r="10" spans="1:10" s="53" customFormat="1" ht="15.95" customHeight="1" x14ac:dyDescent="0.3"/>
    <row r="11" spans="1:10" s="53" customFormat="1" ht="15.95" customHeight="1" x14ac:dyDescent="0.3">
      <c r="A11" s="231" t="s">
        <v>225</v>
      </c>
      <c r="B11" s="231"/>
      <c r="C11" s="231"/>
      <c r="D11" s="231"/>
      <c r="E11" s="231"/>
      <c r="F11" s="231"/>
      <c r="G11" s="231"/>
      <c r="H11" s="231"/>
    </row>
    <row r="12" spans="1:10" s="53" customFormat="1" ht="15.95" customHeight="1" x14ac:dyDescent="0.3">
      <c r="A12" s="55" t="s">
        <v>434</v>
      </c>
      <c r="B12" s="55" t="s">
        <v>408</v>
      </c>
      <c r="C12" s="55">
        <v>1</v>
      </c>
      <c r="D12" s="55">
        <v>2</v>
      </c>
      <c r="E12" s="55">
        <v>3</v>
      </c>
      <c r="F12" s="55">
        <v>4</v>
      </c>
      <c r="G12" s="55">
        <v>5</v>
      </c>
      <c r="H12" s="55" t="s">
        <v>407</v>
      </c>
      <c r="I12" s="71" t="s">
        <v>156</v>
      </c>
      <c r="J12" s="71" t="s">
        <v>149</v>
      </c>
    </row>
    <row r="13" spans="1:10" s="53" customFormat="1" ht="15.95" customHeight="1" x14ac:dyDescent="0.3">
      <c r="A13" s="56" t="s">
        <v>432</v>
      </c>
      <c r="B13" s="57">
        <v>15</v>
      </c>
      <c r="C13" s="58"/>
      <c r="D13" s="58"/>
      <c r="E13" s="58"/>
      <c r="F13" s="58"/>
      <c r="G13" s="58"/>
      <c r="H13" s="59">
        <f>SUM(C13:G13)</f>
        <v>0</v>
      </c>
      <c r="I13" s="57">
        <f>B13-H13</f>
        <v>15</v>
      </c>
      <c r="J13" s="138"/>
    </row>
    <row r="14" spans="1:10" s="53" customFormat="1" ht="15.95" customHeight="1" x14ac:dyDescent="0.3">
      <c r="A14" s="71" t="s">
        <v>131</v>
      </c>
      <c r="B14" s="57"/>
      <c r="C14" s="60"/>
      <c r="D14" s="60"/>
      <c r="E14" s="60"/>
      <c r="F14" s="60"/>
      <c r="G14" s="60"/>
      <c r="H14" s="60"/>
      <c r="I14" s="60"/>
      <c r="J14" s="87"/>
    </row>
    <row r="15" spans="1:10" s="53" customFormat="1" ht="15.95" customHeight="1" x14ac:dyDescent="0.3">
      <c r="J15" s="87"/>
    </row>
    <row r="16" spans="1:10" s="53" customFormat="1" ht="15.95" customHeight="1" x14ac:dyDescent="0.3">
      <c r="A16" s="223" t="s">
        <v>222</v>
      </c>
      <c r="B16" s="223"/>
      <c r="C16" s="223"/>
      <c r="D16" s="223"/>
      <c r="E16" s="223"/>
      <c r="F16" s="223"/>
      <c r="G16" s="223"/>
      <c r="H16" s="223"/>
      <c r="J16" s="73"/>
    </row>
    <row r="17" spans="1:10" s="53" customFormat="1" ht="15.95" customHeight="1" x14ac:dyDescent="0.3">
      <c r="A17" s="232" t="s">
        <v>332</v>
      </c>
      <c r="B17" s="232"/>
      <c r="C17" s="232" t="s">
        <v>335</v>
      </c>
      <c r="D17" s="232"/>
      <c r="E17" s="232" t="s">
        <v>336</v>
      </c>
      <c r="F17" s="232"/>
      <c r="G17" s="232" t="s">
        <v>407</v>
      </c>
      <c r="H17" s="232"/>
      <c r="J17" s="73"/>
    </row>
    <row r="18" spans="1:10" s="53" customFormat="1" ht="15.95" customHeight="1" x14ac:dyDescent="0.3">
      <c r="A18" s="234"/>
      <c r="B18" s="234"/>
      <c r="C18" s="234"/>
      <c r="D18" s="234"/>
      <c r="E18" s="234"/>
      <c r="F18" s="234"/>
      <c r="G18" s="235">
        <f>SUM(A18:F18)</f>
        <v>0</v>
      </c>
      <c r="H18" s="235"/>
      <c r="J18" s="73"/>
    </row>
    <row r="19" spans="1:10" s="53" customFormat="1" ht="15.95" customHeight="1" x14ac:dyDescent="0.3">
      <c r="J19" s="73"/>
    </row>
    <row r="20" spans="1:10" s="53" customFormat="1" ht="15.95" customHeight="1" x14ac:dyDescent="0.3">
      <c r="A20" s="223" t="s">
        <v>469</v>
      </c>
      <c r="B20" s="223"/>
      <c r="C20" s="223"/>
      <c r="D20" s="223"/>
      <c r="E20" s="223"/>
      <c r="F20" s="223"/>
      <c r="G20" s="223"/>
      <c r="H20" s="223"/>
      <c r="J20" s="73"/>
    </row>
    <row r="21" spans="1:10" s="53" customFormat="1" ht="15.95" customHeight="1" x14ac:dyDescent="0.3">
      <c r="A21" s="232" t="s">
        <v>128</v>
      </c>
      <c r="B21" s="232"/>
      <c r="C21" s="232" t="s">
        <v>160</v>
      </c>
      <c r="D21" s="232"/>
      <c r="E21" s="232" t="s">
        <v>333</v>
      </c>
      <c r="F21" s="232"/>
      <c r="G21" s="232" t="s">
        <v>407</v>
      </c>
      <c r="H21" s="232"/>
      <c r="J21" s="73"/>
    </row>
    <row r="22" spans="1:10" s="53" customFormat="1" ht="15.95" customHeight="1" x14ac:dyDescent="0.3">
      <c r="A22" s="234"/>
      <c r="B22" s="234"/>
      <c r="C22" s="234"/>
      <c r="D22" s="234"/>
      <c r="E22" s="234"/>
      <c r="F22" s="234"/>
      <c r="G22" s="235">
        <f>SUM(A22:F22)</f>
        <v>0</v>
      </c>
      <c r="H22" s="235"/>
      <c r="J22" s="73"/>
    </row>
    <row r="23" spans="1:10" s="53" customFormat="1" ht="15.95" customHeight="1" x14ac:dyDescent="0.3">
      <c r="A23" s="57"/>
      <c r="B23" s="57"/>
      <c r="C23" s="60"/>
      <c r="D23" s="60"/>
      <c r="E23" s="60"/>
      <c r="F23" s="60"/>
      <c r="G23" s="60"/>
      <c r="H23" s="60"/>
      <c r="J23" s="73"/>
    </row>
    <row r="24" spans="1:10" s="53" customFormat="1" ht="15.95" customHeight="1" x14ac:dyDescent="0.3">
      <c r="A24" s="223" t="s">
        <v>223</v>
      </c>
      <c r="B24" s="223"/>
      <c r="C24" s="223"/>
      <c r="D24" s="223"/>
      <c r="E24" s="223"/>
      <c r="F24" s="223"/>
      <c r="G24" s="223"/>
      <c r="H24" s="223"/>
    </row>
    <row r="25" spans="1:10" s="53" customFormat="1" ht="15.95" customHeight="1" x14ac:dyDescent="0.3">
      <c r="A25" s="55" t="s">
        <v>380</v>
      </c>
      <c r="B25" s="55" t="s">
        <v>451</v>
      </c>
      <c r="C25" s="71" t="s">
        <v>159</v>
      </c>
      <c r="D25" s="55"/>
      <c r="E25" s="55"/>
      <c r="F25" s="55"/>
      <c r="G25" s="55"/>
      <c r="H25" s="55"/>
    </row>
    <row r="26" spans="1:10" s="53" customFormat="1" ht="15.95" customHeight="1" x14ac:dyDescent="0.3">
      <c r="A26" s="55" t="s">
        <v>412</v>
      </c>
      <c r="B26" s="61"/>
      <c r="C26" s="70">
        <v>0</v>
      </c>
      <c r="D26" s="61"/>
      <c r="E26" s="61"/>
      <c r="F26" s="61"/>
      <c r="G26" s="61"/>
      <c r="H26" s="61"/>
    </row>
    <row r="27" spans="1:10" s="53" customFormat="1" ht="15.95" customHeight="1" x14ac:dyDescent="0.3">
      <c r="A27" s="233" t="s">
        <v>477</v>
      </c>
      <c r="B27" s="233"/>
      <c r="C27" s="233"/>
      <c r="D27" s="233"/>
      <c r="E27" s="233"/>
      <c r="F27" s="233"/>
      <c r="G27" s="233"/>
      <c r="H27" s="233"/>
    </row>
    <row r="28" spans="1:10" s="53" customFormat="1" ht="15.95" customHeight="1" x14ac:dyDescent="0.3">
      <c r="A28" s="60"/>
      <c r="B28" s="60"/>
      <c r="C28" s="60"/>
      <c r="D28" s="60"/>
      <c r="E28" s="60"/>
      <c r="F28" s="60"/>
      <c r="G28" s="60"/>
      <c r="H28" s="60"/>
    </row>
    <row r="29" spans="1:10" s="53" customFormat="1" ht="15.95" customHeight="1" x14ac:dyDescent="0.3">
      <c r="A29" s="223" t="s">
        <v>462</v>
      </c>
      <c r="B29" s="223"/>
      <c r="C29" s="223"/>
      <c r="D29" s="223"/>
      <c r="E29" s="223"/>
      <c r="F29" s="223"/>
      <c r="G29" s="223"/>
      <c r="H29" s="223"/>
    </row>
    <row r="30" spans="1:10" s="53" customFormat="1" ht="15.95" customHeight="1" x14ac:dyDescent="0.3">
      <c r="A30" s="236" t="s">
        <v>227</v>
      </c>
      <c r="B30" s="236"/>
      <c r="C30" s="236"/>
      <c r="D30" s="236"/>
      <c r="E30" s="236"/>
      <c r="F30" s="236"/>
      <c r="G30" s="236"/>
      <c r="H30" s="236"/>
    </row>
    <row r="31" spans="1:10" s="53" customFormat="1" ht="15.95" customHeight="1" x14ac:dyDescent="0.3">
      <c r="A31" s="237" t="s">
        <v>234</v>
      </c>
      <c r="B31" s="237"/>
      <c r="C31" s="237"/>
      <c r="D31" s="237"/>
      <c r="E31" s="237"/>
      <c r="F31" s="237"/>
      <c r="G31" s="237"/>
      <c r="H31" s="237"/>
    </row>
    <row r="32" spans="1:10" s="53" customFormat="1" ht="15.95" customHeight="1" x14ac:dyDescent="0.3">
      <c r="A32" s="232" t="s">
        <v>433</v>
      </c>
      <c r="B32" s="232"/>
      <c r="C32" s="232" t="s">
        <v>342</v>
      </c>
      <c r="D32" s="232"/>
      <c r="E32" s="232" t="s">
        <v>334</v>
      </c>
      <c r="F32" s="232"/>
      <c r="G32" s="232" t="s">
        <v>425</v>
      </c>
      <c r="H32" s="232"/>
    </row>
    <row r="33" spans="1:11" s="53" customFormat="1" ht="15.95" customHeight="1" x14ac:dyDescent="0.3">
      <c r="A33" s="234"/>
      <c r="B33" s="234"/>
      <c r="C33" s="234"/>
      <c r="D33" s="234"/>
      <c r="E33" s="234"/>
      <c r="F33" s="234"/>
      <c r="G33" s="234"/>
      <c r="H33" s="234"/>
    </row>
    <row r="34" spans="1:11" s="53" customFormat="1" ht="15.95" customHeight="1" x14ac:dyDescent="0.3">
      <c r="A34" s="238"/>
      <c r="B34" s="238"/>
      <c r="C34" s="238"/>
      <c r="D34" s="238"/>
      <c r="E34" s="238"/>
      <c r="F34" s="238"/>
      <c r="G34" s="238"/>
      <c r="H34" s="238"/>
    </row>
    <row r="35" spans="1:11" s="53" customFormat="1" ht="15.95" customHeight="1" x14ac:dyDescent="0.3">
      <c r="A35" s="223" t="s">
        <v>229</v>
      </c>
      <c r="B35" s="223"/>
      <c r="C35" s="223"/>
      <c r="D35" s="223"/>
      <c r="E35" s="223"/>
      <c r="F35" s="223"/>
      <c r="G35" s="223"/>
      <c r="H35" s="223"/>
    </row>
    <row r="36" spans="1:11" s="53" customFormat="1" ht="15.95" customHeight="1" x14ac:dyDescent="0.3">
      <c r="A36" s="122" t="s">
        <v>391</v>
      </c>
      <c r="B36" s="126" t="s">
        <v>157</v>
      </c>
      <c r="C36" s="127" t="s">
        <v>198</v>
      </c>
      <c r="D36" s="127" t="s">
        <v>376</v>
      </c>
      <c r="E36" s="128" t="s">
        <v>147</v>
      </c>
      <c r="F36" s="123" t="s">
        <v>155</v>
      </c>
      <c r="G36" s="55" t="s">
        <v>196</v>
      </c>
      <c r="H36" s="55" t="s">
        <v>202</v>
      </c>
    </row>
    <row r="37" spans="1:11" s="53" customFormat="1" ht="15.95" customHeight="1" x14ac:dyDescent="0.3">
      <c r="A37" s="122" t="s">
        <v>207</v>
      </c>
      <c r="B37" s="129">
        <v>2070000</v>
      </c>
      <c r="C37" s="58"/>
      <c r="D37" s="58"/>
      <c r="E37" s="130">
        <f>인건비balance!B10</f>
        <v>452000</v>
      </c>
      <c r="F37" s="124">
        <v>2070000</v>
      </c>
      <c r="G37" s="58"/>
      <c r="H37" s="58"/>
    </row>
    <row r="38" spans="1:11" s="53" customFormat="1" ht="15.95" customHeight="1" x14ac:dyDescent="0.3">
      <c r="A38" s="122" t="s">
        <v>432</v>
      </c>
      <c r="B38" s="131">
        <v>1</v>
      </c>
      <c r="C38" s="132"/>
      <c r="D38" s="132"/>
      <c r="E38" s="133">
        <f>B13</f>
        <v>15</v>
      </c>
      <c r="F38" s="124">
        <v>1</v>
      </c>
      <c r="G38" s="58"/>
      <c r="H38" s="58"/>
    </row>
    <row r="39" spans="1:11" s="53" customFormat="1" ht="15.95" customHeight="1" x14ac:dyDescent="0.3">
      <c r="A39" s="55" t="s">
        <v>391</v>
      </c>
      <c r="B39" s="125" t="s">
        <v>441</v>
      </c>
      <c r="C39" s="125" t="s">
        <v>431</v>
      </c>
      <c r="D39" s="125" t="s">
        <v>430</v>
      </c>
      <c r="E39" s="125" t="s">
        <v>413</v>
      </c>
      <c r="F39" s="55" t="s">
        <v>420</v>
      </c>
      <c r="G39" s="55"/>
      <c r="H39" s="55"/>
    </row>
    <row r="40" spans="1:11" s="53" customFormat="1" ht="15.95" customHeight="1" x14ac:dyDescent="0.3">
      <c r="A40" s="122" t="s">
        <v>207</v>
      </c>
      <c r="B40" s="58"/>
      <c r="C40" s="58"/>
      <c r="D40" s="58"/>
      <c r="E40" s="58"/>
      <c r="F40" s="58"/>
      <c r="G40" s="58"/>
      <c r="H40" s="58"/>
    </row>
    <row r="41" spans="1:11" s="53" customFormat="1" ht="15.95" customHeight="1" x14ac:dyDescent="0.3">
      <c r="A41" s="122" t="s">
        <v>432</v>
      </c>
      <c r="B41" s="58"/>
      <c r="C41" s="58"/>
      <c r="D41" s="58"/>
      <c r="E41" s="58"/>
      <c r="F41" s="58"/>
      <c r="G41" s="58"/>
      <c r="H41" s="58"/>
      <c r="I41" s="71" t="s">
        <v>173</v>
      </c>
      <c r="J41" s="71" t="s">
        <v>98</v>
      </c>
      <c r="K41" s="115" t="s">
        <v>211</v>
      </c>
    </row>
    <row r="42" spans="1:11" s="53" customFormat="1" ht="15.95" customHeight="1" x14ac:dyDescent="0.3">
      <c r="G42" s="55" t="s">
        <v>428</v>
      </c>
      <c r="H42" s="61">
        <f>SUM(B37:H37,B40:H40)</f>
        <v>4592000</v>
      </c>
      <c r="I42" s="71">
        <f>SUM(세출예산서!W11:W15,세출예산서!W18:W25)</f>
        <v>17</v>
      </c>
      <c r="J42" s="114">
        <f>세출예산서!$AO$3</f>
        <v>0.4949374852559566</v>
      </c>
      <c r="K42" s="114">
        <f>J42-'수가정보 및 인건비비율'!$A$9</f>
        <v>-0.11606251474404339</v>
      </c>
    </row>
    <row r="43" spans="1:11" s="53" customFormat="1" ht="15.95" customHeight="1" x14ac:dyDescent="0.3">
      <c r="A43" s="223" t="s">
        <v>224</v>
      </c>
      <c r="B43" s="223"/>
      <c r="C43" s="223"/>
      <c r="D43" s="223"/>
      <c r="E43" s="223"/>
      <c r="F43" s="223"/>
      <c r="G43" s="223"/>
      <c r="H43" s="223"/>
    </row>
    <row r="44" spans="1:11" s="53" customFormat="1" ht="15.95" customHeight="1" x14ac:dyDescent="0.3">
      <c r="A44" s="55" t="s">
        <v>380</v>
      </c>
      <c r="B44" s="55" t="s">
        <v>159</v>
      </c>
      <c r="C44" s="55" t="s">
        <v>204</v>
      </c>
      <c r="D44" s="55" t="s">
        <v>164</v>
      </c>
      <c r="E44" s="55" t="s">
        <v>151</v>
      </c>
      <c r="F44" s="55" t="s">
        <v>166</v>
      </c>
      <c r="G44" s="55" t="s">
        <v>193</v>
      </c>
      <c r="H44" s="55" t="s">
        <v>195</v>
      </c>
    </row>
    <row r="45" spans="1:11" s="53" customFormat="1" ht="15.95" customHeight="1" x14ac:dyDescent="0.3">
      <c r="A45" s="55" t="s">
        <v>412</v>
      </c>
      <c r="B45" s="70">
        <f>C26</f>
        <v>0</v>
      </c>
      <c r="C45" s="61"/>
      <c r="D45" s="61">
        <v>500000</v>
      </c>
      <c r="E45" s="61"/>
      <c r="F45" s="61"/>
      <c r="G45" s="61"/>
      <c r="H45" s="61"/>
    </row>
    <row r="46" spans="1:11" s="53" customFormat="1" ht="15.95" customHeight="1" x14ac:dyDescent="0.3">
      <c r="A46" s="55" t="s">
        <v>380</v>
      </c>
      <c r="B46" s="55" t="s">
        <v>438</v>
      </c>
      <c r="C46" s="55" t="s">
        <v>100</v>
      </c>
      <c r="D46" s="55" t="s">
        <v>123</v>
      </c>
      <c r="E46" s="55" t="s">
        <v>137</v>
      </c>
      <c r="F46" s="55"/>
      <c r="G46" s="55"/>
      <c r="H46" s="55"/>
    </row>
    <row r="47" spans="1:11" s="53" customFormat="1" ht="15.95" customHeight="1" x14ac:dyDescent="0.3">
      <c r="A47" s="55" t="s">
        <v>412</v>
      </c>
      <c r="B47" s="61"/>
      <c r="C47" s="61"/>
      <c r="D47" s="61"/>
      <c r="E47" s="61"/>
      <c r="F47" s="61"/>
      <c r="G47" s="61"/>
      <c r="H47" s="61"/>
    </row>
    <row r="48" spans="1:11" s="53" customFormat="1" ht="15.95" customHeight="1" x14ac:dyDescent="0.3">
      <c r="A48" s="233" t="s">
        <v>477</v>
      </c>
      <c r="B48" s="233"/>
      <c r="C48" s="233"/>
      <c r="D48" s="233"/>
      <c r="E48" s="233"/>
      <c r="F48" s="233"/>
      <c r="G48" s="233"/>
      <c r="H48" s="233"/>
    </row>
    <row r="49" s="53" customFormat="1" ht="15.95" customHeight="1" x14ac:dyDescent="0.3"/>
    <row r="50" s="53" customFormat="1" ht="15.95" customHeight="1" x14ac:dyDescent="0.3"/>
    <row r="51" ht="15.95" customHeight="1" x14ac:dyDescent="0.3"/>
    <row r="52" ht="15.95" customHeight="1" x14ac:dyDescent="0.3"/>
    <row r="53" ht="15.95" customHeight="1" x14ac:dyDescent="0.3"/>
    <row r="54" ht="15.95" customHeight="1" x14ac:dyDescent="0.3"/>
  </sheetData>
  <mergeCells count="44">
    <mergeCell ref="A43:H43"/>
    <mergeCell ref="A48:H48"/>
    <mergeCell ref="A33:B33"/>
    <mergeCell ref="C33:D33"/>
    <mergeCell ref="E33:F33"/>
    <mergeCell ref="G33:H33"/>
    <mergeCell ref="A34:H34"/>
    <mergeCell ref="A35:H35"/>
    <mergeCell ref="A29:H29"/>
    <mergeCell ref="A30:H30"/>
    <mergeCell ref="A31:H31"/>
    <mergeCell ref="A32:B32"/>
    <mergeCell ref="C32:D32"/>
    <mergeCell ref="E32:F32"/>
    <mergeCell ref="G32:H32"/>
    <mergeCell ref="A27:H27"/>
    <mergeCell ref="A18:B18"/>
    <mergeCell ref="C18:D18"/>
    <mergeCell ref="E18:F18"/>
    <mergeCell ref="G18:H18"/>
    <mergeCell ref="A20:H20"/>
    <mergeCell ref="A21:B21"/>
    <mergeCell ref="C21:D21"/>
    <mergeCell ref="E21:F21"/>
    <mergeCell ref="G21:H21"/>
    <mergeCell ref="A22:B22"/>
    <mergeCell ref="C22:D22"/>
    <mergeCell ref="E22:F22"/>
    <mergeCell ref="G22:H22"/>
    <mergeCell ref="A24:H24"/>
    <mergeCell ref="B9:C9"/>
    <mergeCell ref="D9:H9"/>
    <mergeCell ref="A11:H11"/>
    <mergeCell ref="A16:H16"/>
    <mergeCell ref="A17:B17"/>
    <mergeCell ref="C17:D17"/>
    <mergeCell ref="E17:F17"/>
    <mergeCell ref="G17:H17"/>
    <mergeCell ref="A1:H1"/>
    <mergeCell ref="A6:H6"/>
    <mergeCell ref="B7:D7"/>
    <mergeCell ref="F7:H7"/>
    <mergeCell ref="B8:C8"/>
    <mergeCell ref="D8:H8"/>
  </mergeCells>
  <phoneticPr fontId="16" type="noConversion"/>
  <printOptions horizontalCentered="1"/>
  <pageMargins left="0.51138889789581299" right="0.51138889789581299" top="0.74750000238418579" bottom="0.74750000238418579" header="0.31486111879348755" footer="0.31486111879348755"/>
  <pageSetup paperSize="9" orientation="portrait" horizont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D39"/>
  <sheetViews>
    <sheetView zoomScale="55" zoomScaleNormal="55" zoomScaleSheetLayoutView="75" workbookViewId="0">
      <selection activeCell="G38" sqref="G38:Y39"/>
    </sheetView>
  </sheetViews>
  <sheetFormatPr defaultColWidth="2.625" defaultRowHeight="15" customHeight="1" x14ac:dyDescent="0.3"/>
  <cols>
    <col min="1" max="16384" width="2.625" style="2"/>
  </cols>
  <sheetData>
    <row r="3" spans="1:30" ht="15" customHeight="1" x14ac:dyDescent="0.3">
      <c r="S3" s="246" t="s">
        <v>34</v>
      </c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</row>
    <row r="4" spans="1:30" ht="15" customHeight="1" x14ac:dyDescent="0.3">
      <c r="S4" s="246" t="s">
        <v>399</v>
      </c>
      <c r="T4" s="246"/>
      <c r="U4" s="246"/>
      <c r="V4" s="246"/>
      <c r="W4" s="246" t="s">
        <v>388</v>
      </c>
      <c r="X4" s="246"/>
      <c r="Y4" s="246"/>
      <c r="Z4" s="246"/>
      <c r="AA4" s="246" t="s">
        <v>415</v>
      </c>
      <c r="AB4" s="246"/>
      <c r="AC4" s="246"/>
      <c r="AD4" s="246"/>
    </row>
    <row r="5" spans="1:30" ht="15" customHeight="1" x14ac:dyDescent="0.3"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</row>
    <row r="6" spans="1:30" ht="15" customHeight="1" x14ac:dyDescent="0.3"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</row>
    <row r="7" spans="1:30" ht="15" customHeight="1" x14ac:dyDescent="0.3"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</row>
    <row r="10" spans="1:30" ht="1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" customHeight="1" x14ac:dyDescent="0.3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3"/>
      <c r="AB11" s="3"/>
      <c r="AC11" s="3"/>
      <c r="AD11" s="3"/>
    </row>
    <row r="12" spans="1:30" ht="15" customHeight="1" x14ac:dyDescent="0.3">
      <c r="A12" s="3"/>
      <c r="B12" s="3"/>
      <c r="C12" s="3"/>
      <c r="D12" s="3"/>
      <c r="E12" s="243" t="s">
        <v>303</v>
      </c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3"/>
      <c r="AB12" s="3"/>
      <c r="AC12" s="3"/>
      <c r="AD12" s="3"/>
    </row>
    <row r="13" spans="1:30" ht="15" customHeight="1" x14ac:dyDescent="0.3">
      <c r="A13" s="3"/>
      <c r="B13" s="3"/>
      <c r="C13" s="3"/>
      <c r="D13" s="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3"/>
      <c r="AB13" s="3"/>
      <c r="AC13" s="3"/>
      <c r="AD13" s="3"/>
    </row>
    <row r="14" spans="1:30" ht="15" customHeight="1" x14ac:dyDescent="0.3"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</row>
    <row r="16" spans="1:30" ht="15" customHeight="1" x14ac:dyDescent="0.3">
      <c r="K16" s="245" t="s">
        <v>67</v>
      </c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1:20" ht="15" customHeight="1" x14ac:dyDescent="0.3"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21" spans="11:20" ht="15" customHeight="1" x14ac:dyDescent="0.3">
      <c r="K21" s="239">
        <f>예산서사전준비!$B$3</f>
        <v>2024</v>
      </c>
      <c r="L21" s="239"/>
      <c r="M21" s="239"/>
      <c r="N21" s="239"/>
      <c r="O21" s="239"/>
      <c r="P21" s="239"/>
      <c r="Q21" s="239"/>
      <c r="R21" s="239"/>
      <c r="S21" s="239" t="s">
        <v>410</v>
      </c>
      <c r="T21" s="239"/>
    </row>
    <row r="22" spans="11:20" ht="15" customHeight="1" x14ac:dyDescent="0.3">
      <c r="K22" s="240"/>
      <c r="L22" s="240"/>
      <c r="M22" s="240"/>
      <c r="N22" s="240"/>
      <c r="O22" s="240"/>
      <c r="P22" s="240"/>
      <c r="Q22" s="240"/>
      <c r="R22" s="240"/>
      <c r="S22" s="240"/>
      <c r="T22" s="240"/>
    </row>
    <row r="38" spans="7:25" ht="15" customHeight="1" x14ac:dyDescent="0.3">
      <c r="G38" s="241" t="s">
        <v>260</v>
      </c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</row>
    <row r="39" spans="7:25" ht="15" customHeight="1" x14ac:dyDescent="0.3"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</row>
  </sheetData>
  <mergeCells count="12">
    <mergeCell ref="S3:AD3"/>
    <mergeCell ref="S4:V4"/>
    <mergeCell ref="W4:Z4"/>
    <mergeCell ref="AA4:AD4"/>
    <mergeCell ref="S5:V7"/>
    <mergeCell ref="W5:Z7"/>
    <mergeCell ref="AA5:AD7"/>
    <mergeCell ref="K21:R22"/>
    <mergeCell ref="S21:T22"/>
    <mergeCell ref="G38:Y39"/>
    <mergeCell ref="E12:Z14"/>
    <mergeCell ref="K16:T17"/>
  </mergeCells>
  <phoneticPr fontId="16" type="noConversion"/>
  <printOptions horizontalCentered="1"/>
  <pageMargins left="0.7086111307144165" right="0.7086111307144165" top="0.74750000238418579" bottom="0.74750000238418579" header="0.31486111879348755" footer="0.3148611187934875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AD35"/>
  <sheetViews>
    <sheetView zoomScaleNormal="100" zoomScaleSheetLayoutView="75" workbookViewId="0">
      <selection activeCell="U13" sqref="U13:AD14"/>
    </sheetView>
  </sheetViews>
  <sheetFormatPr defaultColWidth="2.625" defaultRowHeight="20.100000000000001" customHeight="1" x14ac:dyDescent="0.3"/>
  <cols>
    <col min="1" max="16384" width="2.625" style="2"/>
  </cols>
  <sheetData>
    <row r="3" spans="1:30" ht="20.100000000000001" customHeight="1" x14ac:dyDescent="0.3">
      <c r="A3" s="3"/>
      <c r="B3" s="3"/>
      <c r="C3" s="3"/>
      <c r="D3" s="3"/>
      <c r="E3" s="243">
        <f>예산서사전준비!$B$3</f>
        <v>2024</v>
      </c>
      <c r="F3" s="243"/>
      <c r="G3" s="243"/>
      <c r="H3" s="243"/>
      <c r="I3" s="243"/>
      <c r="J3" s="243"/>
      <c r="K3" s="243"/>
      <c r="L3" s="243"/>
      <c r="M3" s="243" t="s">
        <v>410</v>
      </c>
      <c r="N3" s="243"/>
      <c r="O3" s="243"/>
      <c r="P3" s="243" t="s">
        <v>65</v>
      </c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3"/>
      <c r="AB3" s="3"/>
      <c r="AC3" s="3"/>
      <c r="AD3" s="3"/>
    </row>
    <row r="4" spans="1:30" ht="20.100000000000001" customHeight="1" x14ac:dyDescent="0.3"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</row>
    <row r="7" spans="1:30" ht="20.100000000000001" customHeight="1" x14ac:dyDescent="0.3">
      <c r="A7" s="248" t="s">
        <v>62</v>
      </c>
      <c r="B7" s="248"/>
      <c r="C7" s="248"/>
      <c r="D7" s="249" t="s">
        <v>481</v>
      </c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</row>
    <row r="8" spans="1:30" ht="20.100000000000001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0.100000000000001" customHeight="1" x14ac:dyDescent="0.3">
      <c r="A9" s="248" t="s">
        <v>61</v>
      </c>
      <c r="B9" s="248"/>
      <c r="C9" s="248"/>
      <c r="D9" s="249" t="s">
        <v>474</v>
      </c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</row>
    <row r="11" spans="1:30" ht="20.100000000000001" customHeight="1" x14ac:dyDescent="0.3">
      <c r="A11" s="247" t="s">
        <v>393</v>
      </c>
      <c r="B11" s="247"/>
      <c r="C11" s="247"/>
      <c r="D11" s="247"/>
      <c r="E11" s="247"/>
      <c r="F11" s="247"/>
      <c r="G11" s="247"/>
      <c r="H11" s="247"/>
      <c r="I11" s="247"/>
      <c r="J11" s="247"/>
      <c r="K11" s="247" t="s">
        <v>473</v>
      </c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</row>
    <row r="12" spans="1:30" ht="20.100000000000001" customHeight="1" x14ac:dyDescent="0.3">
      <c r="A12" s="247"/>
      <c r="B12" s="247"/>
      <c r="C12" s="247"/>
      <c r="D12" s="247"/>
      <c r="E12" s="247"/>
      <c r="F12" s="247"/>
      <c r="G12" s="247"/>
      <c r="H12" s="247"/>
      <c r="I12" s="247"/>
      <c r="J12" s="247"/>
      <c r="K12" s="247" t="s">
        <v>64</v>
      </c>
      <c r="L12" s="247"/>
      <c r="M12" s="247"/>
      <c r="N12" s="247"/>
      <c r="O12" s="247"/>
      <c r="P12" s="247"/>
      <c r="Q12" s="247"/>
      <c r="R12" s="247"/>
      <c r="S12" s="247"/>
      <c r="T12" s="247"/>
      <c r="U12" s="247" t="s">
        <v>56</v>
      </c>
      <c r="V12" s="247"/>
      <c r="W12" s="247"/>
      <c r="X12" s="247"/>
      <c r="Y12" s="247"/>
      <c r="Z12" s="247"/>
      <c r="AA12" s="247"/>
      <c r="AB12" s="247"/>
      <c r="AC12" s="247"/>
      <c r="AD12" s="247"/>
    </row>
    <row r="13" spans="1:30" ht="20.100000000000001" customHeight="1" x14ac:dyDescent="0.3">
      <c r="A13" s="253" t="s">
        <v>310</v>
      </c>
      <c r="B13" s="253"/>
      <c r="C13" s="253"/>
      <c r="D13" s="253"/>
      <c r="E13" s="253"/>
      <c r="F13" s="253"/>
      <c r="G13" s="253"/>
      <c r="H13" s="253"/>
      <c r="I13" s="253"/>
      <c r="J13" s="253"/>
      <c r="K13" s="252">
        <v>142177</v>
      </c>
      <c r="L13" s="252"/>
      <c r="M13" s="252"/>
      <c r="N13" s="252"/>
      <c r="O13" s="252"/>
      <c r="P13" s="252"/>
      <c r="Q13" s="252"/>
      <c r="R13" s="252"/>
      <c r="S13" s="252"/>
      <c r="T13" s="252"/>
      <c r="U13" s="252">
        <v>142177</v>
      </c>
      <c r="V13" s="252"/>
      <c r="W13" s="252"/>
      <c r="X13" s="252"/>
      <c r="Y13" s="252"/>
      <c r="Z13" s="252"/>
      <c r="AA13" s="252"/>
      <c r="AB13" s="252"/>
      <c r="AC13" s="252"/>
      <c r="AD13" s="252"/>
    </row>
    <row r="14" spans="1:30" ht="20.100000000000001" customHeight="1" x14ac:dyDescent="0.3">
      <c r="A14" s="253"/>
      <c r="B14" s="253"/>
      <c r="C14" s="253"/>
      <c r="D14" s="253"/>
      <c r="E14" s="253"/>
      <c r="F14" s="253"/>
      <c r="G14" s="253"/>
      <c r="H14" s="253"/>
      <c r="I14" s="253"/>
      <c r="J14" s="253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</row>
    <row r="16" spans="1:30" ht="20.100000000000001" customHeight="1" x14ac:dyDescent="0.3">
      <c r="A16" s="248" t="s">
        <v>58</v>
      </c>
      <c r="B16" s="248"/>
      <c r="C16" s="248"/>
      <c r="D16" s="249" t="s">
        <v>4</v>
      </c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</row>
    <row r="18" spans="1:30" ht="20.100000000000001" customHeight="1" x14ac:dyDescent="0.3">
      <c r="A18" s="248" t="s">
        <v>71</v>
      </c>
      <c r="B18" s="248"/>
      <c r="C18" s="248"/>
      <c r="D18" s="249" t="s">
        <v>459</v>
      </c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50">
        <f>세입예산서!AC43</f>
        <v>0</v>
      </c>
      <c r="P18" s="250"/>
      <c r="Q18" s="250"/>
      <c r="R18" s="250"/>
      <c r="S18" s="250"/>
      <c r="T18" s="250"/>
      <c r="U18" s="250"/>
      <c r="V18" s="250"/>
      <c r="W18" s="249" t="s">
        <v>57</v>
      </c>
      <c r="X18" s="249"/>
      <c r="Y18" s="249"/>
      <c r="Z18" s="249"/>
      <c r="AA18" s="249"/>
      <c r="AB18" s="249"/>
      <c r="AC18" s="249"/>
      <c r="AD18" s="249"/>
    </row>
    <row r="19" spans="1:30" ht="20.100000000000001" hidden="1" customHeight="1" x14ac:dyDescent="0.3">
      <c r="A19" s="251" t="s">
        <v>231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</row>
    <row r="20" spans="1:30" ht="20.100000000000001" hidden="1" customHeight="1" x14ac:dyDescent="0.3">
      <c r="A20" s="251" t="s">
        <v>0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</row>
    <row r="21" spans="1:30" ht="20.100000000000001" hidden="1" customHeight="1" x14ac:dyDescent="0.3">
      <c r="A21" s="251" t="s">
        <v>232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</row>
    <row r="22" spans="1:30" ht="20.100000000000001" hidden="1" customHeight="1" x14ac:dyDescent="0.3">
      <c r="A22" s="251" t="s">
        <v>1</v>
      </c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</row>
    <row r="23" spans="1:30" ht="20.100000000000001" hidden="1" customHeight="1" x14ac:dyDescent="0.3">
      <c r="A23" s="251" t="s">
        <v>15</v>
      </c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</row>
    <row r="25" spans="1:30" ht="20.100000000000001" customHeight="1" x14ac:dyDescent="0.3">
      <c r="A25" s="248" t="s">
        <v>59</v>
      </c>
      <c r="B25" s="248"/>
      <c r="C25" s="248"/>
      <c r="D25" s="249" t="s">
        <v>322</v>
      </c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50">
        <v>0</v>
      </c>
      <c r="P25" s="250"/>
      <c r="Q25" s="250"/>
      <c r="R25" s="250"/>
      <c r="S25" s="250"/>
      <c r="T25" s="250"/>
      <c r="U25" s="250"/>
      <c r="V25" s="250"/>
      <c r="W25" s="249" t="s">
        <v>57</v>
      </c>
      <c r="X25" s="249"/>
      <c r="Y25" s="249"/>
      <c r="Z25" s="249"/>
      <c r="AA25" s="249"/>
      <c r="AB25" s="249"/>
      <c r="AC25" s="249"/>
      <c r="AD25" s="249"/>
    </row>
    <row r="26" spans="1:30" ht="20.100000000000001" hidden="1" customHeight="1" x14ac:dyDescent="0.3">
      <c r="A26" s="251" t="s">
        <v>230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</row>
    <row r="27" spans="1:30" ht="20.100000000000001" customHeight="1" x14ac:dyDescent="0.3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</row>
    <row r="28" spans="1:30" ht="20.100000000000001" customHeight="1" x14ac:dyDescent="0.3">
      <c r="A28" s="248" t="s">
        <v>63</v>
      </c>
      <c r="B28" s="248"/>
      <c r="C28" s="248"/>
      <c r="D28" s="249" t="s">
        <v>28</v>
      </c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50">
        <f>세출예산서!AC98</f>
        <v>0</v>
      </c>
      <c r="P28" s="250"/>
      <c r="Q28" s="250"/>
      <c r="R28" s="250"/>
      <c r="S28" s="250"/>
      <c r="T28" s="250"/>
      <c r="U28" s="250"/>
      <c r="V28" s="250"/>
      <c r="W28" s="249" t="s">
        <v>57</v>
      </c>
      <c r="X28" s="249"/>
      <c r="Y28" s="249"/>
      <c r="Z28" s="249"/>
      <c r="AA28" s="249"/>
      <c r="AB28" s="249"/>
      <c r="AC28" s="249"/>
      <c r="AD28" s="249"/>
    </row>
    <row r="29" spans="1:30" ht="20.100000000000001" customHeight="1" x14ac:dyDescent="0.3">
      <c r="A29" s="248" t="s">
        <v>226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</row>
    <row r="31" spans="1:30" ht="20.100000000000001" customHeight="1" x14ac:dyDescent="0.3">
      <c r="A31" s="248" t="s">
        <v>72</v>
      </c>
      <c r="B31" s="248"/>
      <c r="C31" s="248"/>
      <c r="D31" s="249" t="s">
        <v>316</v>
      </c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50">
        <f>세출예산서!AC113</f>
        <v>0</v>
      </c>
      <c r="P31" s="250"/>
      <c r="Q31" s="250"/>
      <c r="R31" s="250"/>
      <c r="S31" s="250"/>
      <c r="T31" s="250"/>
      <c r="U31" s="250"/>
      <c r="V31" s="250"/>
      <c r="W31" s="249" t="s">
        <v>57</v>
      </c>
      <c r="X31" s="249"/>
      <c r="Y31" s="249"/>
      <c r="Z31" s="249"/>
      <c r="AA31" s="249"/>
      <c r="AB31" s="249"/>
      <c r="AC31" s="249"/>
      <c r="AD31" s="249"/>
    </row>
    <row r="34" spans="7:25" ht="20.100000000000001" customHeight="1" x14ac:dyDescent="0.3">
      <c r="G34" s="241" t="s">
        <v>260</v>
      </c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</row>
    <row r="35" spans="7:25" ht="20.100000000000001" customHeight="1" x14ac:dyDescent="0.3"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</row>
  </sheetData>
  <mergeCells count="40">
    <mergeCell ref="A19:AD19"/>
    <mergeCell ref="A20:AD20"/>
    <mergeCell ref="A21:AD21"/>
    <mergeCell ref="A22:AD22"/>
    <mergeCell ref="A23:AD23"/>
    <mergeCell ref="K13:T14"/>
    <mergeCell ref="U13:AD14"/>
    <mergeCell ref="A16:C16"/>
    <mergeCell ref="D16:AD16"/>
    <mergeCell ref="A18:C18"/>
    <mergeCell ref="D18:N18"/>
    <mergeCell ref="O18:V18"/>
    <mergeCell ref="W18:AD18"/>
    <mergeCell ref="A13:J14"/>
    <mergeCell ref="G34:Y35"/>
    <mergeCell ref="O25:V25"/>
    <mergeCell ref="W25:AD25"/>
    <mergeCell ref="O28:V28"/>
    <mergeCell ref="W28:AD28"/>
    <mergeCell ref="A29:AD29"/>
    <mergeCell ref="A31:C31"/>
    <mergeCell ref="D31:N31"/>
    <mergeCell ref="O31:V31"/>
    <mergeCell ref="W31:AD31"/>
    <mergeCell ref="A25:C25"/>
    <mergeCell ref="D25:N25"/>
    <mergeCell ref="A28:C28"/>
    <mergeCell ref="D28:N28"/>
    <mergeCell ref="A26:AD26"/>
    <mergeCell ref="P3:Z4"/>
    <mergeCell ref="E3:L4"/>
    <mergeCell ref="M3:O4"/>
    <mergeCell ref="K12:T12"/>
    <mergeCell ref="U12:AD12"/>
    <mergeCell ref="A11:J12"/>
    <mergeCell ref="K11:AD11"/>
    <mergeCell ref="A7:C7"/>
    <mergeCell ref="D7:AD7"/>
    <mergeCell ref="A9:C9"/>
    <mergeCell ref="D9:AD9"/>
  </mergeCells>
  <phoneticPr fontId="16" type="noConversion"/>
  <printOptions horizontalCentered="1"/>
  <pageMargins left="0.7086111307144165" right="0.7086111307144165" top="0.74750000238418579" bottom="0.74750000238418579" header="0.31486111879348755" footer="0.3148611187934875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AD30"/>
  <sheetViews>
    <sheetView topLeftCell="A10" zoomScaleNormal="100" zoomScaleSheetLayoutView="75" workbookViewId="0">
      <selection activeCell="X17" sqref="X17:AD17"/>
    </sheetView>
  </sheetViews>
  <sheetFormatPr defaultColWidth="2.625" defaultRowHeight="20.100000000000001" customHeight="1" x14ac:dyDescent="0.3"/>
  <cols>
    <col min="1" max="16384" width="2.625" style="2"/>
  </cols>
  <sheetData>
    <row r="3" spans="1:30" ht="20.100000000000001" customHeight="1" x14ac:dyDescent="0.3">
      <c r="A3" s="3"/>
      <c r="B3" s="3"/>
      <c r="C3" s="3"/>
      <c r="D3" s="3"/>
      <c r="E3" s="243">
        <f>예산서사전준비!$B$3</f>
        <v>2024</v>
      </c>
      <c r="F3" s="243"/>
      <c r="G3" s="243"/>
      <c r="H3" s="243"/>
      <c r="I3" s="243"/>
      <c r="J3" s="243"/>
      <c r="K3" s="243"/>
      <c r="L3" s="243"/>
      <c r="M3" s="243" t="s">
        <v>410</v>
      </c>
      <c r="N3" s="243"/>
      <c r="O3" s="243"/>
      <c r="P3" s="243" t="s">
        <v>111</v>
      </c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3"/>
      <c r="AB3" s="3"/>
      <c r="AC3" s="3"/>
      <c r="AD3" s="3"/>
    </row>
    <row r="4" spans="1:30" ht="20.100000000000001" customHeight="1" x14ac:dyDescent="0.3"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</row>
    <row r="8" spans="1:30" ht="20.100000000000001" customHeight="1" x14ac:dyDescent="0.3">
      <c r="Y8" s="254" t="s">
        <v>327</v>
      </c>
      <c r="Z8" s="254"/>
      <c r="AA8" s="254"/>
      <c r="AB8" s="254"/>
      <c r="AC8" s="254"/>
      <c r="AD8" s="254"/>
    </row>
    <row r="9" spans="1:30" ht="20.100000000000001" customHeight="1" x14ac:dyDescent="0.3">
      <c r="A9" s="247" t="s">
        <v>66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 t="s">
        <v>60</v>
      </c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</row>
    <row r="10" spans="1:30" ht="20.100000000000001" customHeight="1" x14ac:dyDescent="0.3">
      <c r="A10" s="247" t="s">
        <v>393</v>
      </c>
      <c r="B10" s="247"/>
      <c r="C10" s="247"/>
      <c r="D10" s="247"/>
      <c r="E10" s="247"/>
      <c r="F10" s="247"/>
      <c r="G10" s="247"/>
      <c r="H10" s="247"/>
      <c r="I10" s="247" t="s">
        <v>392</v>
      </c>
      <c r="J10" s="247"/>
      <c r="K10" s="247"/>
      <c r="L10" s="247"/>
      <c r="M10" s="247"/>
      <c r="N10" s="247"/>
      <c r="O10" s="247"/>
      <c r="P10" s="247" t="s">
        <v>393</v>
      </c>
      <c r="Q10" s="247"/>
      <c r="R10" s="247"/>
      <c r="S10" s="247"/>
      <c r="T10" s="247"/>
      <c r="U10" s="247"/>
      <c r="V10" s="247"/>
      <c r="W10" s="247"/>
      <c r="X10" s="247" t="s">
        <v>392</v>
      </c>
      <c r="Y10" s="247"/>
      <c r="Z10" s="247"/>
      <c r="AA10" s="247"/>
      <c r="AB10" s="247"/>
      <c r="AC10" s="247"/>
      <c r="AD10" s="247"/>
    </row>
    <row r="11" spans="1:30" ht="20.100000000000001" customHeight="1" x14ac:dyDescent="0.3">
      <c r="A11" s="253" t="s">
        <v>107</v>
      </c>
      <c r="B11" s="253"/>
      <c r="C11" s="253"/>
      <c r="D11" s="253"/>
      <c r="E11" s="253"/>
      <c r="F11" s="253"/>
      <c r="G11" s="253"/>
      <c r="H11" s="253"/>
      <c r="I11" s="252">
        <v>142177</v>
      </c>
      <c r="J11" s="252"/>
      <c r="K11" s="252"/>
      <c r="L11" s="252"/>
      <c r="M11" s="252"/>
      <c r="N11" s="252"/>
      <c r="O11" s="252"/>
      <c r="P11" s="253" t="s">
        <v>107</v>
      </c>
      <c r="Q11" s="253"/>
      <c r="R11" s="253"/>
      <c r="S11" s="253"/>
      <c r="T11" s="253"/>
      <c r="U11" s="253"/>
      <c r="V11" s="253"/>
      <c r="W11" s="253"/>
      <c r="X11" s="252">
        <v>142177</v>
      </c>
      <c r="Y11" s="252"/>
      <c r="Z11" s="252"/>
      <c r="AA11" s="252"/>
      <c r="AB11" s="252"/>
      <c r="AC11" s="252"/>
      <c r="AD11" s="252"/>
    </row>
    <row r="12" spans="1:30" ht="20.100000000000001" customHeight="1" x14ac:dyDescent="0.3">
      <c r="A12" s="253" t="s">
        <v>86</v>
      </c>
      <c r="B12" s="253"/>
      <c r="C12" s="253"/>
      <c r="D12" s="253"/>
      <c r="E12" s="253"/>
      <c r="F12" s="253"/>
      <c r="G12" s="253"/>
      <c r="H12" s="253"/>
      <c r="I12" s="252">
        <v>34087</v>
      </c>
      <c r="J12" s="252"/>
      <c r="K12" s="252"/>
      <c r="L12" s="252"/>
      <c r="M12" s="252"/>
      <c r="N12" s="252"/>
      <c r="O12" s="252"/>
      <c r="P12" s="253" t="s">
        <v>385</v>
      </c>
      <c r="Q12" s="253"/>
      <c r="R12" s="253"/>
      <c r="S12" s="253"/>
      <c r="T12" s="253"/>
      <c r="U12" s="253"/>
      <c r="V12" s="253"/>
      <c r="W12" s="253"/>
      <c r="X12" s="252">
        <f>세출예산서!AC7/1000</f>
        <v>43158.45</v>
      </c>
      <c r="Y12" s="252"/>
      <c r="Z12" s="252"/>
      <c r="AA12" s="252"/>
      <c r="AB12" s="252"/>
      <c r="AC12" s="252"/>
      <c r="AD12" s="252"/>
    </row>
    <row r="13" spans="1:30" ht="20.100000000000001" customHeight="1" x14ac:dyDescent="0.3">
      <c r="A13" s="253" t="s">
        <v>77</v>
      </c>
      <c r="B13" s="253"/>
      <c r="C13" s="253"/>
      <c r="D13" s="253"/>
      <c r="E13" s="253"/>
      <c r="F13" s="253"/>
      <c r="G13" s="253"/>
      <c r="H13" s="253"/>
      <c r="I13" s="252">
        <f>세입예산서!AC17/1000</f>
        <v>0</v>
      </c>
      <c r="J13" s="252"/>
      <c r="K13" s="252"/>
      <c r="L13" s="252"/>
      <c r="M13" s="252"/>
      <c r="N13" s="252"/>
      <c r="O13" s="252"/>
      <c r="P13" s="253" t="s">
        <v>97</v>
      </c>
      <c r="Q13" s="253"/>
      <c r="R13" s="253"/>
      <c r="S13" s="253"/>
      <c r="T13" s="253"/>
      <c r="U13" s="253"/>
      <c r="V13" s="253"/>
      <c r="W13" s="253"/>
      <c r="X13" s="252">
        <f>세출예산서!AC69/1000</f>
        <v>200</v>
      </c>
      <c r="Y13" s="252"/>
      <c r="Z13" s="252"/>
      <c r="AA13" s="252"/>
      <c r="AB13" s="252"/>
      <c r="AC13" s="252"/>
      <c r="AD13" s="252"/>
    </row>
    <row r="14" spans="1:30" ht="20.100000000000001" customHeight="1" x14ac:dyDescent="0.3">
      <c r="A14" s="253" t="s">
        <v>75</v>
      </c>
      <c r="B14" s="253"/>
      <c r="C14" s="253"/>
      <c r="D14" s="253"/>
      <c r="E14" s="253"/>
      <c r="F14" s="253"/>
      <c r="G14" s="253"/>
      <c r="H14" s="253"/>
      <c r="I14" s="252">
        <f>세입예산서!AC20/1000</f>
        <v>0</v>
      </c>
      <c r="J14" s="252"/>
      <c r="K14" s="252"/>
      <c r="L14" s="252"/>
      <c r="M14" s="252"/>
      <c r="N14" s="252"/>
      <c r="O14" s="252"/>
      <c r="P14" s="253" t="s">
        <v>382</v>
      </c>
      <c r="Q14" s="253"/>
      <c r="R14" s="253"/>
      <c r="S14" s="253"/>
      <c r="T14" s="253"/>
      <c r="U14" s="253"/>
      <c r="V14" s="253"/>
      <c r="W14" s="253"/>
      <c r="X14" s="252">
        <f>세출예산서!AC74/1000</f>
        <v>100</v>
      </c>
      <c r="Y14" s="252"/>
      <c r="Z14" s="252"/>
      <c r="AA14" s="252"/>
      <c r="AB14" s="252"/>
      <c r="AC14" s="252"/>
      <c r="AD14" s="252"/>
    </row>
    <row r="15" spans="1:30" ht="20.100000000000001" customHeight="1" x14ac:dyDescent="0.3">
      <c r="A15" s="253" t="s">
        <v>89</v>
      </c>
      <c r="B15" s="253"/>
      <c r="C15" s="253"/>
      <c r="D15" s="253"/>
      <c r="E15" s="253"/>
      <c r="F15" s="253"/>
      <c r="G15" s="253"/>
      <c r="H15" s="253"/>
      <c r="I15" s="252">
        <f>세입예산서!AC23/1000</f>
        <v>0</v>
      </c>
      <c r="J15" s="252"/>
      <c r="K15" s="252"/>
      <c r="L15" s="252"/>
      <c r="M15" s="252"/>
      <c r="N15" s="252"/>
      <c r="O15" s="252"/>
      <c r="P15" s="255" t="s">
        <v>483</v>
      </c>
      <c r="Q15" s="255"/>
      <c r="R15" s="255"/>
      <c r="S15" s="255"/>
      <c r="T15" s="255"/>
      <c r="U15" s="255"/>
      <c r="V15" s="255"/>
      <c r="W15" s="255"/>
      <c r="X15" s="256">
        <f>150</f>
        <v>150</v>
      </c>
      <c r="Y15" s="256"/>
      <c r="Z15" s="256"/>
      <c r="AA15" s="256"/>
      <c r="AB15" s="256"/>
      <c r="AC15" s="256"/>
      <c r="AD15" s="256"/>
    </row>
    <row r="16" spans="1:30" ht="20.100000000000001" customHeight="1" x14ac:dyDescent="0.3">
      <c r="A16" s="253" t="s">
        <v>145</v>
      </c>
      <c r="B16" s="253"/>
      <c r="C16" s="253"/>
      <c r="D16" s="253"/>
      <c r="E16" s="253"/>
      <c r="F16" s="253"/>
      <c r="G16" s="253"/>
      <c r="H16" s="253"/>
      <c r="I16" s="252">
        <f>세입예산서!AC32/1000</f>
        <v>0</v>
      </c>
      <c r="J16" s="252"/>
      <c r="K16" s="252"/>
      <c r="L16" s="252"/>
      <c r="M16" s="252"/>
      <c r="N16" s="252"/>
      <c r="O16" s="252"/>
      <c r="P16" s="253" t="s">
        <v>95</v>
      </c>
      <c r="Q16" s="253"/>
      <c r="R16" s="253"/>
      <c r="S16" s="253"/>
      <c r="T16" s="253"/>
      <c r="U16" s="253"/>
      <c r="V16" s="253"/>
      <c r="W16" s="253"/>
      <c r="X16" s="252">
        <f>세출예산서!AC101/1000</f>
        <v>0</v>
      </c>
      <c r="Y16" s="252"/>
      <c r="Z16" s="252"/>
      <c r="AA16" s="252"/>
      <c r="AB16" s="252"/>
      <c r="AC16" s="252"/>
      <c r="AD16" s="252"/>
    </row>
    <row r="17" spans="1:30" ht="20.100000000000001" customHeight="1" x14ac:dyDescent="0.3">
      <c r="A17" s="253" t="s">
        <v>103</v>
      </c>
      <c r="B17" s="253"/>
      <c r="C17" s="253"/>
      <c r="D17" s="253"/>
      <c r="E17" s="253"/>
      <c r="F17" s="253"/>
      <c r="G17" s="253"/>
      <c r="H17" s="253"/>
      <c r="I17" s="252">
        <f>세입예산서!AC36/1000</f>
        <v>54045</v>
      </c>
      <c r="J17" s="252"/>
      <c r="K17" s="252"/>
      <c r="L17" s="252"/>
      <c r="M17" s="252"/>
      <c r="N17" s="252"/>
      <c r="O17" s="252"/>
      <c r="P17" s="253" t="s">
        <v>402</v>
      </c>
      <c r="Q17" s="253"/>
      <c r="R17" s="253"/>
      <c r="S17" s="253"/>
      <c r="T17" s="253"/>
      <c r="U17" s="253"/>
      <c r="V17" s="253"/>
      <c r="W17" s="253"/>
      <c r="X17" s="252">
        <f>세출예산서!AC104/1000</f>
        <v>0</v>
      </c>
      <c r="Y17" s="252"/>
      <c r="Z17" s="252"/>
      <c r="AA17" s="252"/>
      <c r="AB17" s="252"/>
      <c r="AC17" s="252"/>
      <c r="AD17" s="252"/>
    </row>
    <row r="18" spans="1:30" ht="20.100000000000001" customHeight="1" x14ac:dyDescent="0.3">
      <c r="A18" s="253" t="s">
        <v>387</v>
      </c>
      <c r="B18" s="253"/>
      <c r="C18" s="253"/>
      <c r="D18" s="253"/>
      <c r="E18" s="253"/>
      <c r="F18" s="253"/>
      <c r="G18" s="253"/>
      <c r="H18" s="253"/>
      <c r="I18" s="252">
        <f>세입예산서!AC43/1000</f>
        <v>0</v>
      </c>
      <c r="J18" s="252"/>
      <c r="K18" s="252"/>
      <c r="L18" s="252"/>
      <c r="M18" s="252"/>
      <c r="N18" s="252"/>
      <c r="O18" s="252"/>
      <c r="P18" s="253" t="s">
        <v>384</v>
      </c>
      <c r="Q18" s="253"/>
      <c r="R18" s="253"/>
      <c r="S18" s="253"/>
      <c r="T18" s="253"/>
      <c r="U18" s="253"/>
      <c r="V18" s="253"/>
      <c r="W18" s="253"/>
      <c r="X18" s="252">
        <v>43686</v>
      </c>
      <c r="Y18" s="252"/>
      <c r="Z18" s="252"/>
      <c r="AA18" s="252"/>
      <c r="AB18" s="252"/>
      <c r="AC18" s="252"/>
      <c r="AD18" s="252"/>
    </row>
    <row r="19" spans="1:30" ht="20.100000000000001" customHeight="1" x14ac:dyDescent="0.3">
      <c r="A19" s="253" t="s">
        <v>395</v>
      </c>
      <c r="B19" s="253"/>
      <c r="C19" s="253"/>
      <c r="D19" s="253"/>
      <c r="E19" s="253"/>
      <c r="F19" s="253"/>
      <c r="G19" s="253"/>
      <c r="H19" s="253"/>
      <c r="I19" s="252">
        <v>0</v>
      </c>
      <c r="J19" s="252"/>
      <c r="K19" s="252"/>
      <c r="L19" s="252"/>
      <c r="M19" s="252"/>
      <c r="N19" s="252"/>
      <c r="O19" s="252"/>
      <c r="P19" s="253" t="s">
        <v>400</v>
      </c>
      <c r="Q19" s="253"/>
      <c r="R19" s="253"/>
      <c r="S19" s="253"/>
      <c r="T19" s="253"/>
      <c r="U19" s="253"/>
      <c r="V19" s="253"/>
      <c r="W19" s="253"/>
      <c r="X19" s="252">
        <f>세출예산서!AC112/1000</f>
        <v>0</v>
      </c>
      <c r="Y19" s="252"/>
      <c r="Z19" s="252"/>
      <c r="AA19" s="252"/>
      <c r="AB19" s="252"/>
      <c r="AC19" s="252"/>
      <c r="AD19" s="252"/>
    </row>
    <row r="20" spans="1:30" ht="20.100000000000001" customHeight="1" x14ac:dyDescent="0.3">
      <c r="A20" s="253" t="s">
        <v>411</v>
      </c>
      <c r="B20" s="253"/>
      <c r="C20" s="253"/>
      <c r="D20" s="253"/>
      <c r="E20" s="253"/>
      <c r="F20" s="253"/>
      <c r="G20" s="253"/>
      <c r="H20" s="253"/>
      <c r="I20" s="252">
        <f>세입예산서!AC53/1000</f>
        <v>0</v>
      </c>
      <c r="J20" s="252"/>
      <c r="K20" s="252"/>
      <c r="L20" s="252"/>
      <c r="M20" s="252"/>
      <c r="N20" s="252"/>
      <c r="O20" s="252"/>
      <c r="P20" s="253" t="s">
        <v>417</v>
      </c>
      <c r="Q20" s="253"/>
      <c r="R20" s="253"/>
      <c r="S20" s="253"/>
      <c r="T20" s="253"/>
      <c r="U20" s="253"/>
      <c r="V20" s="253"/>
      <c r="W20" s="253"/>
      <c r="X20" s="252">
        <f>세출예산서!AC117/1000</f>
        <v>0</v>
      </c>
      <c r="Y20" s="252"/>
      <c r="Z20" s="252"/>
      <c r="AA20" s="252"/>
      <c r="AB20" s="252"/>
      <c r="AC20" s="252"/>
      <c r="AD20" s="252"/>
    </row>
    <row r="21" spans="1:30" ht="20.100000000000001" customHeight="1" x14ac:dyDescent="0.3">
      <c r="A21" s="253" t="s">
        <v>383</v>
      </c>
      <c r="B21" s="253"/>
      <c r="C21" s="253"/>
      <c r="D21" s="253"/>
      <c r="E21" s="253"/>
      <c r="F21" s="253"/>
      <c r="G21" s="253"/>
      <c r="H21" s="253"/>
      <c r="I21" s="252">
        <v>0</v>
      </c>
      <c r="J21" s="252"/>
      <c r="K21" s="252"/>
      <c r="L21" s="252"/>
      <c r="M21" s="252"/>
      <c r="N21" s="252"/>
      <c r="O21" s="252"/>
      <c r="P21" s="253" t="s">
        <v>396</v>
      </c>
      <c r="Q21" s="253"/>
      <c r="R21" s="253"/>
      <c r="S21" s="253"/>
      <c r="T21" s="253"/>
      <c r="U21" s="253"/>
      <c r="V21" s="253"/>
      <c r="W21" s="253"/>
      <c r="X21" s="252">
        <f>세출예산서!AC118/1000</f>
        <v>0</v>
      </c>
      <c r="Y21" s="252"/>
      <c r="Z21" s="252"/>
      <c r="AA21" s="252"/>
      <c r="AB21" s="252"/>
      <c r="AC21" s="252"/>
      <c r="AD21" s="252"/>
    </row>
    <row r="22" spans="1:30" ht="20.100000000000001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20.100000000000001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20.100000000000001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20.100000000000001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0.100000000000001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9" spans="1:30" ht="20.100000000000001" customHeight="1" x14ac:dyDescent="0.3">
      <c r="G29" s="241" t="s">
        <v>260</v>
      </c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</row>
    <row r="30" spans="1:30" ht="20.100000000000001" customHeight="1" x14ac:dyDescent="0.3"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</row>
  </sheetData>
  <mergeCells count="55">
    <mergeCell ref="A21:H21"/>
    <mergeCell ref="I21:O21"/>
    <mergeCell ref="P21:W21"/>
    <mergeCell ref="X21:AD21"/>
    <mergeCell ref="A19:H19"/>
    <mergeCell ref="I19:O19"/>
    <mergeCell ref="P19:W19"/>
    <mergeCell ref="A20:H20"/>
    <mergeCell ref="I20:O20"/>
    <mergeCell ref="P20:W20"/>
    <mergeCell ref="X20:AD20"/>
    <mergeCell ref="A17:H17"/>
    <mergeCell ref="I17:O17"/>
    <mergeCell ref="P17:W17"/>
    <mergeCell ref="X17:AD17"/>
    <mergeCell ref="X19:AD19"/>
    <mergeCell ref="I14:O14"/>
    <mergeCell ref="P14:W14"/>
    <mergeCell ref="X14:AD14"/>
    <mergeCell ref="A16:H16"/>
    <mergeCell ref="I16:O16"/>
    <mergeCell ref="P16:W16"/>
    <mergeCell ref="X16:AD16"/>
    <mergeCell ref="G29:Y30"/>
    <mergeCell ref="X10:AD10"/>
    <mergeCell ref="A15:H15"/>
    <mergeCell ref="I15:O15"/>
    <mergeCell ref="P15:W15"/>
    <mergeCell ref="X15:AD15"/>
    <mergeCell ref="A11:H11"/>
    <mergeCell ref="I11:O11"/>
    <mergeCell ref="P11:W11"/>
    <mergeCell ref="X11:AD11"/>
    <mergeCell ref="A12:H12"/>
    <mergeCell ref="I12:O12"/>
    <mergeCell ref="P12:W12"/>
    <mergeCell ref="X12:AD12"/>
    <mergeCell ref="X13:AD13"/>
    <mergeCell ref="A14:H14"/>
    <mergeCell ref="E3:L4"/>
    <mergeCell ref="M3:O4"/>
    <mergeCell ref="P3:Z4"/>
    <mergeCell ref="A9:O9"/>
    <mergeCell ref="A18:H18"/>
    <mergeCell ref="I18:O18"/>
    <mergeCell ref="P18:W18"/>
    <mergeCell ref="X18:AD18"/>
    <mergeCell ref="A13:H13"/>
    <mergeCell ref="I13:O13"/>
    <mergeCell ref="P13:W13"/>
    <mergeCell ref="P9:AD9"/>
    <mergeCell ref="Y8:AD8"/>
    <mergeCell ref="A10:H10"/>
    <mergeCell ref="I10:O10"/>
    <mergeCell ref="P10:W10"/>
  </mergeCells>
  <phoneticPr fontId="16" type="noConversion"/>
  <printOptions horizontalCentered="1"/>
  <pageMargins left="0.7086111307144165" right="0.7086111307144165" top="0.74750000238418579" bottom="0.74750000238418579" header="0.31486111879348755" footer="0.3148611187934875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D31"/>
  <sheetViews>
    <sheetView topLeftCell="A13" zoomScaleNormal="100" zoomScaleSheetLayoutView="75" workbookViewId="0">
      <selection activeCell="O22" sqref="O22:V22"/>
    </sheetView>
  </sheetViews>
  <sheetFormatPr defaultColWidth="2.625" defaultRowHeight="20.100000000000001" customHeight="1" x14ac:dyDescent="0.3"/>
  <cols>
    <col min="1" max="16384" width="2.625" style="2"/>
  </cols>
  <sheetData>
    <row r="3" spans="1:30" ht="20.100000000000001" customHeight="1" x14ac:dyDescent="0.3">
      <c r="A3" s="243">
        <f>예산서사전준비!$B$3</f>
        <v>2024</v>
      </c>
      <c r="B3" s="243"/>
      <c r="C3" s="243"/>
      <c r="D3" s="243"/>
      <c r="E3" s="243"/>
      <c r="F3" s="243"/>
      <c r="G3" s="243"/>
      <c r="H3" s="243"/>
      <c r="I3" s="243" t="s">
        <v>410</v>
      </c>
      <c r="J3" s="243"/>
      <c r="K3" s="243"/>
      <c r="L3" s="243" t="s">
        <v>18</v>
      </c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</row>
    <row r="4" spans="1:30" ht="20.100000000000001" customHeight="1" x14ac:dyDescent="0.3">
      <c r="A4" s="244"/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8" spans="1:30" ht="20.100000000000001" customHeight="1" x14ac:dyDescent="0.3">
      <c r="A8" s="239" t="s">
        <v>470</v>
      </c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</row>
    <row r="9" spans="1:30" ht="20.100000000000001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20.100000000000001" customHeight="1" x14ac:dyDescent="0.3">
      <c r="A10" s="249" t="s">
        <v>80</v>
      </c>
      <c r="B10" s="249"/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</row>
    <row r="11" spans="1:30" ht="20.100000000000001" customHeight="1" x14ac:dyDescent="0.3">
      <c r="Y11" s="254" t="s">
        <v>321</v>
      </c>
      <c r="Z11" s="254"/>
      <c r="AA11" s="254"/>
      <c r="AB11" s="254"/>
      <c r="AC11" s="254"/>
      <c r="AD11" s="254"/>
    </row>
    <row r="12" spans="1:30" ht="20.100000000000001" customHeight="1" x14ac:dyDescent="0.3">
      <c r="A12" s="257" t="s">
        <v>26</v>
      </c>
      <c r="B12" s="258"/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9"/>
    </row>
    <row r="13" spans="1:30" ht="20.100000000000001" customHeight="1" x14ac:dyDescent="0.3">
      <c r="A13" s="247" t="s">
        <v>393</v>
      </c>
      <c r="B13" s="247"/>
      <c r="C13" s="247"/>
      <c r="D13" s="247"/>
      <c r="E13" s="247"/>
      <c r="F13" s="247"/>
      <c r="G13" s="247"/>
      <c r="H13" s="247"/>
      <c r="I13" s="247" t="s">
        <v>73</v>
      </c>
      <c r="J13" s="247"/>
      <c r="K13" s="247"/>
      <c r="L13" s="247"/>
      <c r="M13" s="247"/>
      <c r="N13" s="247"/>
      <c r="O13" s="247"/>
      <c r="P13" s="247" t="s">
        <v>104</v>
      </c>
      <c r="Q13" s="247"/>
      <c r="R13" s="247"/>
      <c r="S13" s="247"/>
      <c r="T13" s="247"/>
      <c r="U13" s="247"/>
      <c r="V13" s="247"/>
      <c r="W13" s="247"/>
      <c r="X13" s="247" t="s">
        <v>403</v>
      </c>
      <c r="Y13" s="247"/>
      <c r="Z13" s="247"/>
      <c r="AA13" s="247"/>
      <c r="AB13" s="247"/>
      <c r="AC13" s="247"/>
      <c r="AD13" s="247"/>
    </row>
    <row r="14" spans="1:30" ht="20.100000000000001" customHeight="1" x14ac:dyDescent="0.3">
      <c r="A14" s="253" t="s">
        <v>310</v>
      </c>
      <c r="B14" s="253"/>
      <c r="C14" s="253"/>
      <c r="D14" s="253"/>
      <c r="E14" s="253"/>
      <c r="F14" s="253"/>
      <c r="G14" s="253"/>
      <c r="H14" s="253"/>
      <c r="I14" s="252">
        <f>세입예산서!AC9</f>
        <v>9540000</v>
      </c>
      <c r="J14" s="252"/>
      <c r="K14" s="252"/>
      <c r="L14" s="252"/>
      <c r="M14" s="252"/>
      <c r="N14" s="252"/>
      <c r="O14" s="252"/>
      <c r="P14" s="252">
        <f>세입예산서!AC37</f>
        <v>54045000</v>
      </c>
      <c r="Q14" s="252"/>
      <c r="R14" s="252"/>
      <c r="S14" s="252"/>
      <c r="T14" s="252"/>
      <c r="U14" s="252"/>
      <c r="V14" s="252"/>
      <c r="W14" s="252"/>
      <c r="X14" s="252">
        <f>I14+P14</f>
        <v>63585000</v>
      </c>
      <c r="Y14" s="252"/>
      <c r="Z14" s="252"/>
      <c r="AA14" s="252"/>
      <c r="AB14" s="252"/>
      <c r="AC14" s="252"/>
      <c r="AD14" s="252"/>
    </row>
    <row r="15" spans="1:30" ht="20.100000000000001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20.100000000000001" customHeight="1" x14ac:dyDescent="0.3">
      <c r="A16" s="249" t="s">
        <v>465</v>
      </c>
      <c r="B16" s="249"/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</row>
    <row r="17" spans="1:30" ht="20.100000000000001" customHeight="1" x14ac:dyDescent="0.3">
      <c r="Y17" s="254" t="s">
        <v>321</v>
      </c>
      <c r="Z17" s="254"/>
      <c r="AA17" s="254"/>
      <c r="AB17" s="254"/>
      <c r="AC17" s="254"/>
      <c r="AD17" s="254"/>
    </row>
    <row r="18" spans="1:30" ht="20.100000000000001" customHeight="1" x14ac:dyDescent="0.3">
      <c r="A18" s="257" t="s">
        <v>458</v>
      </c>
      <c r="B18" s="258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9"/>
    </row>
    <row r="19" spans="1:30" ht="20.100000000000001" customHeight="1" x14ac:dyDescent="0.3">
      <c r="A19" s="247" t="s">
        <v>90</v>
      </c>
      <c r="B19" s="247"/>
      <c r="C19" s="247"/>
      <c r="D19" s="247"/>
      <c r="E19" s="247"/>
      <c r="F19" s="247"/>
      <c r="G19" s="247"/>
      <c r="H19" s="247"/>
      <c r="I19" s="247" t="s">
        <v>68</v>
      </c>
      <c r="J19" s="247"/>
      <c r="K19" s="247"/>
      <c r="L19" s="247"/>
      <c r="M19" s="247"/>
      <c r="N19" s="247"/>
      <c r="O19" s="247"/>
      <c r="P19" s="247" t="s">
        <v>82</v>
      </c>
      <c r="Q19" s="247"/>
      <c r="R19" s="247"/>
      <c r="S19" s="247"/>
      <c r="T19" s="247"/>
      <c r="U19" s="247"/>
      <c r="V19" s="247"/>
      <c r="W19" s="247"/>
      <c r="X19" s="247" t="s">
        <v>403</v>
      </c>
      <c r="Y19" s="247"/>
      <c r="Z19" s="247"/>
      <c r="AA19" s="247"/>
      <c r="AB19" s="247"/>
      <c r="AC19" s="247"/>
      <c r="AD19" s="247"/>
    </row>
    <row r="20" spans="1:30" ht="20.100000000000001" customHeight="1" x14ac:dyDescent="0.3">
      <c r="A20" s="252">
        <f>세출예산서!AC10+세출예산서!AC28</f>
        <v>26550000</v>
      </c>
      <c r="B20" s="252"/>
      <c r="C20" s="252"/>
      <c r="D20" s="252"/>
      <c r="E20" s="252"/>
      <c r="F20" s="252"/>
      <c r="G20" s="252"/>
      <c r="H20" s="252"/>
      <c r="I20" s="252">
        <f>세출예산서!AC31</f>
        <v>2212500</v>
      </c>
      <c r="J20" s="252"/>
      <c r="K20" s="252"/>
      <c r="L20" s="252"/>
      <c r="M20" s="252"/>
      <c r="N20" s="252"/>
      <c r="O20" s="252"/>
      <c r="P20" s="252">
        <f>세출예산서!AC34</f>
        <v>2708100</v>
      </c>
      <c r="Q20" s="252"/>
      <c r="R20" s="252"/>
      <c r="S20" s="252"/>
      <c r="T20" s="252"/>
      <c r="U20" s="252"/>
      <c r="V20" s="252"/>
      <c r="W20" s="252"/>
      <c r="X20" s="252">
        <f>A20+I20+P20</f>
        <v>31470600</v>
      </c>
      <c r="Y20" s="252"/>
      <c r="Z20" s="252"/>
      <c r="AA20" s="252"/>
      <c r="AB20" s="252"/>
      <c r="AC20" s="252"/>
      <c r="AD20" s="252"/>
    </row>
    <row r="21" spans="1:30" ht="20.100000000000001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20.100000000000001" customHeight="1" x14ac:dyDescent="0.3">
      <c r="A22" s="249" t="s">
        <v>476</v>
      </c>
      <c r="B22" s="249"/>
      <c r="C22" s="249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61">
        <f>X20/X14</f>
        <v>0.4949374852559566</v>
      </c>
      <c r="P22" s="261"/>
      <c r="Q22" s="261"/>
      <c r="R22" s="261"/>
      <c r="S22" s="261"/>
      <c r="T22" s="261"/>
      <c r="U22" s="261"/>
      <c r="V22" s="261"/>
      <c r="W22" s="249" t="s">
        <v>398</v>
      </c>
      <c r="X22" s="249"/>
      <c r="Y22" s="249"/>
      <c r="Z22" s="249"/>
      <c r="AA22" s="249"/>
      <c r="AB22" s="249"/>
      <c r="AC22" s="249"/>
      <c r="AD22" s="249"/>
    </row>
    <row r="24" spans="1:30" ht="20.100000000000001" customHeight="1" x14ac:dyDescent="0.3">
      <c r="A24" s="249" t="s">
        <v>94</v>
      </c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</row>
    <row r="25" spans="1:30" ht="20.100000000000001" customHeight="1" x14ac:dyDescent="0.3">
      <c r="A25" s="249" t="s">
        <v>221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</row>
    <row r="26" spans="1:30" ht="20.100000000000001" customHeight="1" x14ac:dyDescent="0.3">
      <c r="A26" s="248" t="s">
        <v>390</v>
      </c>
      <c r="B26" s="248"/>
      <c r="C26" s="262">
        <f>$X$20</f>
        <v>31470600</v>
      </c>
      <c r="D26" s="262"/>
      <c r="E26" s="262"/>
      <c r="F26" s="262"/>
      <c r="G26" s="262"/>
      <c r="H26" s="262"/>
      <c r="I26" s="262"/>
      <c r="J26" s="248" t="s">
        <v>419</v>
      </c>
      <c r="K26" s="248"/>
      <c r="L26" s="262">
        <f>$X$14</f>
        <v>63585000</v>
      </c>
      <c r="M26" s="262"/>
      <c r="N26" s="262"/>
      <c r="O26" s="262"/>
      <c r="P26" s="262"/>
      <c r="Q26" s="262"/>
      <c r="R26" s="262"/>
      <c r="S26" s="248" t="s">
        <v>390</v>
      </c>
      <c r="T26" s="248"/>
      <c r="U26" s="260">
        <f>$O$22</f>
        <v>0.4949374852559566</v>
      </c>
      <c r="V26" s="260"/>
      <c r="W26" s="260"/>
      <c r="X26" s="260"/>
      <c r="Y26" s="5"/>
      <c r="Z26" s="5"/>
      <c r="AA26" s="5"/>
      <c r="AB26" s="5"/>
      <c r="AC26" s="5"/>
      <c r="AD26" s="5"/>
    </row>
    <row r="30" spans="1:30" ht="20.100000000000001" customHeight="1" x14ac:dyDescent="0.3">
      <c r="G30" s="241" t="s">
        <v>260</v>
      </c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</row>
    <row r="31" spans="1:30" ht="20.100000000000001" customHeight="1" x14ac:dyDescent="0.3"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</row>
  </sheetData>
  <mergeCells count="38">
    <mergeCell ref="A20:H20"/>
    <mergeCell ref="I20:O20"/>
    <mergeCell ref="P20:W20"/>
    <mergeCell ref="X20:AD20"/>
    <mergeCell ref="G30:Y31"/>
    <mergeCell ref="U26:X26"/>
    <mergeCell ref="O22:V22"/>
    <mergeCell ref="W22:AD22"/>
    <mergeCell ref="A22:N22"/>
    <mergeCell ref="A24:AD24"/>
    <mergeCell ref="A25:AD25"/>
    <mergeCell ref="A26:B26"/>
    <mergeCell ref="C26:I26"/>
    <mergeCell ref="J26:K26"/>
    <mergeCell ref="L26:R26"/>
    <mergeCell ref="S26:T26"/>
    <mergeCell ref="L3:AD4"/>
    <mergeCell ref="A8:AD8"/>
    <mergeCell ref="A12:AD12"/>
    <mergeCell ref="A18:AD18"/>
    <mergeCell ref="A16:AD16"/>
    <mergeCell ref="Y17:AD17"/>
    <mergeCell ref="A3:H4"/>
    <mergeCell ref="I3:K4"/>
    <mergeCell ref="A10:AD10"/>
    <mergeCell ref="Y11:AD11"/>
    <mergeCell ref="A19:H19"/>
    <mergeCell ref="I19:O19"/>
    <mergeCell ref="P19:W19"/>
    <mergeCell ref="X19:AD19"/>
    <mergeCell ref="A13:H13"/>
    <mergeCell ref="I13:O13"/>
    <mergeCell ref="P13:W13"/>
    <mergeCell ref="X13:AD13"/>
    <mergeCell ref="A14:H14"/>
    <mergeCell ref="I14:O14"/>
    <mergeCell ref="P14:W14"/>
    <mergeCell ref="X14:AD14"/>
  </mergeCells>
  <phoneticPr fontId="16" type="noConversion"/>
  <printOptions horizontalCentered="1"/>
  <pageMargins left="0.7086111307144165" right="0.7086111307144165" top="0.74750000238418579" bottom="0.74750000238418579" header="0.31486111879348755" footer="0.3148611187934875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R145"/>
  <sheetViews>
    <sheetView zoomScaleNormal="100" zoomScaleSheetLayoutView="75" workbookViewId="0">
      <pane ySplit="6" topLeftCell="A7" activePane="bottomLeft" state="frozen"/>
      <selection pane="bottomLeft" activeCell="W67" sqref="W67:AH67"/>
    </sheetView>
  </sheetViews>
  <sheetFormatPr defaultColWidth="2.625" defaultRowHeight="17.100000000000001" customHeight="1" x14ac:dyDescent="0.3"/>
  <cols>
    <col min="1" max="16" width="2.625" style="8"/>
    <col min="17" max="21" width="2.625" style="8" customWidth="1"/>
    <col min="22" max="34" width="2.625" style="8"/>
    <col min="35" max="47" width="4.625" style="8" customWidth="1"/>
    <col min="48" max="16384" width="2.625" style="8"/>
  </cols>
  <sheetData>
    <row r="1" spans="1:70" ht="30" customHeight="1" x14ac:dyDescent="0.3">
      <c r="A1" s="7"/>
      <c r="B1" s="7"/>
      <c r="C1" s="7"/>
      <c r="D1" s="7"/>
      <c r="E1" s="269">
        <f>예산서사전준비!$B$3</f>
        <v>2024</v>
      </c>
      <c r="F1" s="269"/>
      <c r="G1" s="269"/>
      <c r="H1" s="269"/>
      <c r="I1" s="269"/>
      <c r="J1" s="269"/>
      <c r="K1" s="269"/>
      <c r="L1" s="269"/>
      <c r="M1" s="270" t="s">
        <v>410</v>
      </c>
      <c r="N1" s="270"/>
      <c r="O1" s="270"/>
      <c r="P1" s="270" t="s">
        <v>255</v>
      </c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7"/>
      <c r="AF1" s="7"/>
      <c r="AG1" s="7"/>
      <c r="AH1" s="7"/>
      <c r="AI1" s="344" t="s">
        <v>176</v>
      </c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</row>
    <row r="2" spans="1:70" ht="17.100000000000001" customHeight="1" x14ac:dyDescent="0.3">
      <c r="E2" s="268" t="s">
        <v>487</v>
      </c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I2" s="51"/>
      <c r="AJ2" s="50">
        <v>1</v>
      </c>
      <c r="AK2" s="347" t="s">
        <v>53</v>
      </c>
      <c r="AL2" s="347"/>
      <c r="AM2" s="347"/>
      <c r="AN2" s="347"/>
      <c r="AO2" s="345">
        <v>142177000</v>
      </c>
      <c r="AP2" s="345"/>
      <c r="AQ2" s="345"/>
      <c r="AR2" s="345"/>
      <c r="AS2" s="345"/>
      <c r="AT2" s="345"/>
      <c r="AU2" s="345"/>
      <c r="AV2" s="267" t="s">
        <v>5</v>
      </c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  <c r="BN2" s="154"/>
      <c r="BO2" s="154"/>
      <c r="BP2" s="154"/>
      <c r="BQ2" s="154"/>
      <c r="BR2" s="154"/>
    </row>
    <row r="3" spans="1:70" ht="17.100000000000001" customHeight="1" x14ac:dyDescent="0.3">
      <c r="A3" s="292" t="s">
        <v>260</v>
      </c>
      <c r="B3" s="292"/>
      <c r="C3" s="292"/>
      <c r="D3" s="292"/>
      <c r="E3" s="292"/>
      <c r="F3" s="292"/>
      <c r="G3" s="292"/>
      <c r="H3" s="292"/>
      <c r="I3" s="292"/>
      <c r="J3" s="29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293" t="s">
        <v>321</v>
      </c>
      <c r="AC3" s="293"/>
      <c r="AD3" s="293"/>
      <c r="AE3" s="293"/>
      <c r="AF3" s="293"/>
      <c r="AG3" s="293"/>
      <c r="AH3" s="293"/>
      <c r="AI3" s="51"/>
      <c r="AJ3" s="50">
        <v>2</v>
      </c>
      <c r="AK3" s="347" t="s">
        <v>98</v>
      </c>
      <c r="AL3" s="347"/>
      <c r="AM3" s="347"/>
      <c r="AN3" s="347"/>
      <c r="AO3" s="346">
        <f>인건비비율!U26</f>
        <v>0.4949374852559566</v>
      </c>
      <c r="AP3" s="346"/>
      <c r="AQ3" s="346"/>
      <c r="AR3" s="346"/>
      <c r="AS3" s="346"/>
      <c r="AT3" s="346"/>
      <c r="AU3" s="346"/>
      <c r="AV3" s="267" t="s">
        <v>236</v>
      </c>
      <c r="AW3" s="267"/>
      <c r="AX3" s="267"/>
      <c r="AY3" s="267"/>
      <c r="AZ3" s="267"/>
      <c r="BA3" s="267"/>
      <c r="BB3" s="267"/>
      <c r="BC3" s="267"/>
      <c r="BD3" s="267"/>
      <c r="BE3" s="267"/>
      <c r="BF3" s="267"/>
      <c r="BG3" s="267"/>
      <c r="BH3" s="267"/>
      <c r="BI3" s="267"/>
      <c r="BJ3" s="267"/>
      <c r="BK3" s="267"/>
      <c r="BL3" s="267"/>
      <c r="BM3" s="267"/>
      <c r="BN3" s="154"/>
      <c r="BO3" s="154"/>
      <c r="BP3" s="154"/>
      <c r="BQ3" s="154"/>
      <c r="BR3" s="154"/>
    </row>
    <row r="4" spans="1:70" s="10" customFormat="1" ht="17.100000000000001" customHeight="1" x14ac:dyDescent="0.3">
      <c r="A4" s="271" t="s">
        <v>84</v>
      </c>
      <c r="B4" s="271"/>
      <c r="C4" s="271"/>
      <c r="D4" s="271"/>
      <c r="E4" s="271"/>
      <c r="F4" s="271"/>
      <c r="G4" s="271"/>
      <c r="H4" s="271"/>
      <c r="I4" s="271"/>
      <c r="J4" s="271"/>
      <c r="K4" s="315" t="s">
        <v>266</v>
      </c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7"/>
      <c r="AI4" s="348" t="s">
        <v>190</v>
      </c>
      <c r="AJ4" s="341" t="s">
        <v>414</v>
      </c>
      <c r="AK4" s="341"/>
      <c r="AL4" s="341" t="s">
        <v>442</v>
      </c>
      <c r="AM4" s="341"/>
      <c r="AN4" s="341" t="s">
        <v>129</v>
      </c>
      <c r="AO4" s="341"/>
      <c r="AP4" s="349" t="s">
        <v>175</v>
      </c>
      <c r="AQ4" s="349"/>
      <c r="AR4" s="341" t="s">
        <v>167</v>
      </c>
      <c r="AS4" s="341"/>
      <c r="AT4" s="341" t="s">
        <v>117</v>
      </c>
      <c r="AU4" s="341"/>
    </row>
    <row r="5" spans="1:70" s="10" customFormat="1" ht="17.100000000000001" customHeight="1" x14ac:dyDescent="0.3">
      <c r="A5" s="271" t="s">
        <v>397</v>
      </c>
      <c r="B5" s="271"/>
      <c r="C5" s="271" t="s">
        <v>386</v>
      </c>
      <c r="D5" s="271"/>
      <c r="E5" s="271" t="s">
        <v>416</v>
      </c>
      <c r="F5" s="271"/>
      <c r="G5" s="271"/>
      <c r="H5" s="271"/>
      <c r="I5" s="271"/>
      <c r="J5" s="271"/>
      <c r="K5" s="315" t="s">
        <v>380</v>
      </c>
      <c r="L5" s="316"/>
      <c r="M5" s="316"/>
      <c r="N5" s="316"/>
      <c r="O5" s="316"/>
      <c r="P5" s="317"/>
      <c r="Q5" s="315" t="s">
        <v>440</v>
      </c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7"/>
      <c r="AC5" s="315" t="s">
        <v>412</v>
      </c>
      <c r="AD5" s="316"/>
      <c r="AE5" s="316"/>
      <c r="AF5" s="316"/>
      <c r="AG5" s="316"/>
      <c r="AH5" s="317"/>
      <c r="AI5" s="348"/>
      <c r="AJ5" s="342">
        <v>0.61099999999999999</v>
      </c>
      <c r="AK5" s="342"/>
      <c r="AL5" s="342">
        <v>0.65400000000000003</v>
      </c>
      <c r="AM5" s="342"/>
      <c r="AN5" s="342">
        <v>0.48699999999999999</v>
      </c>
      <c r="AO5" s="342"/>
      <c r="AP5" s="343">
        <v>0.871</v>
      </c>
      <c r="AQ5" s="343"/>
      <c r="AR5" s="342">
        <v>0.498</v>
      </c>
      <c r="AS5" s="342"/>
      <c r="AT5" s="342">
        <v>0.60399999999999998</v>
      </c>
      <c r="AU5" s="342"/>
    </row>
    <row r="6" spans="1:70" s="10" customFormat="1" ht="17.100000000000001" customHeight="1" x14ac:dyDescent="0.3">
      <c r="A6" s="271" t="s">
        <v>401</v>
      </c>
      <c r="B6" s="271"/>
      <c r="C6" s="271"/>
      <c r="D6" s="271"/>
      <c r="E6" s="271"/>
      <c r="F6" s="271"/>
      <c r="G6" s="271"/>
      <c r="H6" s="271"/>
      <c r="I6" s="271"/>
      <c r="J6" s="271"/>
      <c r="K6" s="318">
        <f>AC7+AC17+AC20+AC23+AC32+AC36+AC43+AC47+AC53+AC58</f>
        <v>63585000</v>
      </c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20"/>
      <c r="AI6" s="300" t="s">
        <v>262</v>
      </c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45"/>
    </row>
    <row r="7" spans="1:70" s="10" customFormat="1" ht="17.100000000000001" customHeight="1" x14ac:dyDescent="0.3">
      <c r="A7" s="277" t="s">
        <v>456</v>
      </c>
      <c r="B7" s="278"/>
      <c r="C7" s="278"/>
      <c r="D7" s="278"/>
      <c r="E7" s="278"/>
      <c r="F7" s="278"/>
      <c r="G7" s="278"/>
      <c r="H7" s="278"/>
      <c r="I7" s="278"/>
      <c r="J7" s="278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302">
        <f>AC8</f>
        <v>9540000</v>
      </c>
      <c r="AD7" s="302"/>
      <c r="AE7" s="302"/>
      <c r="AF7" s="302"/>
      <c r="AG7" s="302"/>
      <c r="AH7" s="30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</row>
    <row r="8" spans="1:70" s="10" customFormat="1" ht="17.100000000000001" customHeight="1" x14ac:dyDescent="0.3">
      <c r="A8" s="11"/>
      <c r="B8" s="279" t="s">
        <v>27</v>
      </c>
      <c r="C8" s="280"/>
      <c r="D8" s="280"/>
      <c r="E8" s="280"/>
      <c r="F8" s="280"/>
      <c r="G8" s="280"/>
      <c r="H8" s="280"/>
      <c r="I8" s="280"/>
      <c r="J8" s="281"/>
      <c r="K8" s="47"/>
      <c r="L8" s="48"/>
      <c r="M8" s="48"/>
      <c r="N8" s="48"/>
      <c r="O8" s="48"/>
      <c r="P8" s="49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289">
        <f>AC9+AC13+AC14+AC15+AC16</f>
        <v>9540000</v>
      </c>
      <c r="AD8" s="290"/>
      <c r="AE8" s="290"/>
      <c r="AF8" s="290"/>
      <c r="AG8" s="290"/>
      <c r="AH8" s="291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</row>
    <row r="9" spans="1:70" s="10" customFormat="1" ht="17.100000000000001" customHeight="1" x14ac:dyDescent="0.3">
      <c r="A9" s="11"/>
      <c r="B9" s="12"/>
      <c r="C9" s="277" t="s">
        <v>318</v>
      </c>
      <c r="D9" s="278"/>
      <c r="E9" s="278"/>
      <c r="F9" s="278"/>
      <c r="G9" s="278"/>
      <c r="H9" s="278"/>
      <c r="I9" s="278"/>
      <c r="J9" s="288"/>
      <c r="K9" s="277"/>
      <c r="L9" s="278"/>
      <c r="M9" s="278"/>
      <c r="N9" s="278"/>
      <c r="O9" s="278"/>
      <c r="P9" s="288"/>
      <c r="Q9" s="287"/>
      <c r="R9" s="287"/>
      <c r="S9" s="287"/>
      <c r="T9" s="287"/>
      <c r="U9" s="25"/>
      <c r="V9" s="25"/>
      <c r="W9" s="25"/>
      <c r="X9" s="25"/>
      <c r="Y9" s="25"/>
      <c r="Z9" s="25"/>
      <c r="AA9" s="25"/>
      <c r="AB9" s="25"/>
      <c r="AC9" s="308">
        <f>AC10+AC11+AC12</f>
        <v>9540000</v>
      </c>
      <c r="AD9" s="302"/>
      <c r="AE9" s="302"/>
      <c r="AF9" s="302"/>
      <c r="AG9" s="302"/>
      <c r="AH9" s="303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</row>
    <row r="10" spans="1:70" s="10" customFormat="1" ht="17.100000000000001" customHeight="1" x14ac:dyDescent="0.3">
      <c r="A10" s="11"/>
      <c r="B10" s="12"/>
      <c r="C10" s="18"/>
      <c r="D10" s="19"/>
      <c r="E10" s="19"/>
      <c r="F10" s="19"/>
      <c r="G10" s="19"/>
      <c r="H10" s="19"/>
      <c r="I10" s="19"/>
      <c r="J10" s="20"/>
      <c r="K10" s="282" t="s">
        <v>374</v>
      </c>
      <c r="L10" s="283"/>
      <c r="M10" s="283"/>
      <c r="N10" s="283"/>
      <c r="O10" s="283"/>
      <c r="P10" s="284"/>
      <c r="Q10" s="297">
        <f>ROUNDUP('수가정보 및 인건비비율'!F21*26,-3)</f>
        <v>212000</v>
      </c>
      <c r="R10" s="297"/>
      <c r="S10" s="297"/>
      <c r="T10" s="297"/>
      <c r="U10" s="283" t="s">
        <v>379</v>
      </c>
      <c r="V10" s="283"/>
      <c r="W10" s="37">
        <f>예산서사전준비!B13</f>
        <v>15</v>
      </c>
      <c r="X10" s="283" t="s">
        <v>406</v>
      </c>
      <c r="Y10" s="283"/>
      <c r="Z10" s="165">
        <v>3</v>
      </c>
      <c r="AA10" s="283" t="s">
        <v>418</v>
      </c>
      <c r="AB10" s="283"/>
      <c r="AC10" s="304">
        <f>ROUNDUP(Q10*W10*Z10,-1)</f>
        <v>9540000</v>
      </c>
      <c r="AD10" s="297"/>
      <c r="AE10" s="297"/>
      <c r="AF10" s="297"/>
      <c r="AG10" s="297"/>
      <c r="AH10" s="305"/>
      <c r="AI10" s="299" t="str">
        <f t="shared" ref="AI10:AI16" si="0">CONCATENATE(K10,Q10,U10,W10,X10,Z10,AA10,AC10)</f>
        <v>월평균 본인부담금212000원×15명×3월 =9540000</v>
      </c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14"/>
      <c r="AV10" s="14"/>
      <c r="AW10" s="14"/>
    </row>
    <row r="11" spans="1:70" s="10" customFormat="1" ht="17.100000000000001" hidden="1" customHeight="1" x14ac:dyDescent="0.3">
      <c r="A11" s="11"/>
      <c r="B11" s="12"/>
      <c r="C11" s="11"/>
      <c r="D11" s="15"/>
      <c r="E11" s="15"/>
      <c r="F11" s="15"/>
      <c r="G11" s="15"/>
      <c r="H11" s="15"/>
      <c r="I11" s="15"/>
      <c r="J11" s="16"/>
      <c r="K11" s="285"/>
      <c r="L11" s="263"/>
      <c r="M11" s="263"/>
      <c r="N11" s="263"/>
      <c r="O11" s="263"/>
      <c r="P11" s="286"/>
      <c r="Q11" s="298"/>
      <c r="R11" s="298"/>
      <c r="S11" s="298"/>
      <c r="T11" s="298"/>
      <c r="U11" s="263" t="s">
        <v>379</v>
      </c>
      <c r="V11" s="263"/>
      <c r="W11" s="17"/>
      <c r="X11" s="263" t="s">
        <v>406</v>
      </c>
      <c r="Y11" s="263"/>
      <c r="Z11" s="17">
        <f>예산서사전준비!$D$3</f>
        <v>6</v>
      </c>
      <c r="AA11" s="263" t="s">
        <v>418</v>
      </c>
      <c r="AB11" s="263"/>
      <c r="AC11" s="306">
        <f t="shared" ref="AC11:AC12" si="1">ROUNDUP(Q11*W11*Z11,-1)</f>
        <v>0</v>
      </c>
      <c r="AD11" s="298"/>
      <c r="AE11" s="298"/>
      <c r="AF11" s="298"/>
      <c r="AG11" s="298"/>
      <c r="AH11" s="307"/>
      <c r="AI11" s="299" t="str">
        <f t="shared" si="0"/>
        <v>원×명×6월 =0</v>
      </c>
      <c r="AJ11" s="299"/>
      <c r="AK11" s="299"/>
      <c r="AL11" s="299"/>
      <c r="AM11" s="299"/>
      <c r="AN11" s="299"/>
      <c r="AO11" s="299"/>
      <c r="AP11" s="299"/>
      <c r="AQ11" s="299"/>
      <c r="AR11" s="299"/>
      <c r="AS11" s="299"/>
      <c r="AT11" s="299"/>
      <c r="AU11" s="14"/>
      <c r="AV11" s="14"/>
      <c r="AW11" s="14"/>
    </row>
    <row r="12" spans="1:70" s="10" customFormat="1" ht="17.100000000000001" hidden="1" customHeight="1" x14ac:dyDescent="0.3">
      <c r="A12" s="11"/>
      <c r="B12" s="12"/>
      <c r="C12" s="18"/>
      <c r="D12" s="19"/>
      <c r="E12" s="19"/>
      <c r="F12" s="19"/>
      <c r="G12" s="19"/>
      <c r="H12" s="19"/>
      <c r="I12" s="19"/>
      <c r="J12" s="20"/>
      <c r="K12" s="282"/>
      <c r="L12" s="283"/>
      <c r="M12" s="283"/>
      <c r="N12" s="283"/>
      <c r="O12" s="283"/>
      <c r="P12" s="284"/>
      <c r="Q12" s="298"/>
      <c r="R12" s="298"/>
      <c r="S12" s="298"/>
      <c r="T12" s="298"/>
      <c r="U12" s="283" t="s">
        <v>379</v>
      </c>
      <c r="V12" s="283"/>
      <c r="W12" s="37"/>
      <c r="X12" s="283" t="s">
        <v>406</v>
      </c>
      <c r="Y12" s="283"/>
      <c r="Z12" s="37">
        <f>예산서사전준비!$D$3</f>
        <v>6</v>
      </c>
      <c r="AA12" s="283" t="s">
        <v>418</v>
      </c>
      <c r="AB12" s="283"/>
      <c r="AC12" s="304">
        <f t="shared" si="1"/>
        <v>0</v>
      </c>
      <c r="AD12" s="297"/>
      <c r="AE12" s="297"/>
      <c r="AF12" s="297"/>
      <c r="AG12" s="297"/>
      <c r="AH12" s="305"/>
      <c r="AI12" s="299" t="str">
        <f t="shared" si="0"/>
        <v>원×명×6월 =0</v>
      </c>
      <c r="AJ12" s="299"/>
      <c r="AK12" s="299"/>
      <c r="AL12" s="299"/>
      <c r="AM12" s="299"/>
      <c r="AN12" s="299"/>
      <c r="AO12" s="299"/>
      <c r="AP12" s="299"/>
      <c r="AQ12" s="299"/>
      <c r="AR12" s="299"/>
      <c r="AS12" s="299"/>
      <c r="AT12" s="299"/>
      <c r="AU12" s="14"/>
      <c r="AV12" s="14"/>
      <c r="AW12" s="14"/>
    </row>
    <row r="13" spans="1:70" s="10" customFormat="1" ht="17.100000000000001" hidden="1" customHeight="1" x14ac:dyDescent="0.3">
      <c r="A13" s="11"/>
      <c r="B13" s="12"/>
      <c r="C13" s="282" t="s">
        <v>320</v>
      </c>
      <c r="D13" s="283"/>
      <c r="E13" s="283"/>
      <c r="F13" s="283"/>
      <c r="G13" s="283"/>
      <c r="H13" s="283"/>
      <c r="I13" s="283"/>
      <c r="J13" s="284"/>
      <c r="K13" s="282" t="s">
        <v>23</v>
      </c>
      <c r="L13" s="283"/>
      <c r="M13" s="283"/>
      <c r="N13" s="283"/>
      <c r="O13" s="283"/>
      <c r="P13" s="284"/>
      <c r="Q13" s="276"/>
      <c r="R13" s="276"/>
      <c r="S13" s="276"/>
      <c r="T13" s="276"/>
      <c r="U13" s="273" t="s">
        <v>379</v>
      </c>
      <c r="V13" s="273"/>
      <c r="W13" s="17">
        <f>W10+W11+W12</f>
        <v>15</v>
      </c>
      <c r="X13" s="263" t="s">
        <v>406</v>
      </c>
      <c r="Y13" s="263"/>
      <c r="Z13" s="17"/>
      <c r="AA13" s="263" t="s">
        <v>418</v>
      </c>
      <c r="AB13" s="263"/>
      <c r="AC13" s="304">
        <f>ROUNDUP(Q13*W13*Z13,-1)</f>
        <v>0</v>
      </c>
      <c r="AD13" s="297"/>
      <c r="AE13" s="297"/>
      <c r="AF13" s="297"/>
      <c r="AG13" s="297"/>
      <c r="AH13" s="305"/>
      <c r="AI13" s="299" t="str">
        <f t="shared" si="0"/>
        <v>식재료비(간식비포함)  원×15명×월 =0</v>
      </c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</row>
    <row r="14" spans="1:70" s="10" customFormat="1" ht="17.100000000000001" hidden="1" customHeight="1" x14ac:dyDescent="0.3">
      <c r="A14" s="11"/>
      <c r="B14" s="12"/>
      <c r="C14" s="272" t="s">
        <v>329</v>
      </c>
      <c r="D14" s="273"/>
      <c r="E14" s="273"/>
      <c r="F14" s="273"/>
      <c r="G14" s="273"/>
      <c r="H14" s="273"/>
      <c r="I14" s="273"/>
      <c r="J14" s="274"/>
      <c r="K14" s="272" t="s">
        <v>76</v>
      </c>
      <c r="L14" s="273"/>
      <c r="M14" s="273"/>
      <c r="N14" s="273"/>
      <c r="O14" s="273"/>
      <c r="P14" s="274"/>
      <c r="Q14" s="276"/>
      <c r="R14" s="276"/>
      <c r="S14" s="276"/>
      <c r="T14" s="276"/>
      <c r="U14" s="273" t="s">
        <v>379</v>
      </c>
      <c r="V14" s="273"/>
      <c r="W14" s="22">
        <f>예산서사전준비!$D$3</f>
        <v>6</v>
      </c>
      <c r="X14" s="273" t="s">
        <v>418</v>
      </c>
      <c r="Y14" s="273"/>
      <c r="Z14" s="22"/>
      <c r="AA14" s="273"/>
      <c r="AB14" s="273"/>
      <c r="AC14" s="275">
        <f>ROUNDUP(Q14*W14,-1)</f>
        <v>0</v>
      </c>
      <c r="AD14" s="276"/>
      <c r="AE14" s="276"/>
      <c r="AF14" s="276"/>
      <c r="AG14" s="276"/>
      <c r="AH14" s="301"/>
      <c r="AI14" s="299" t="str">
        <f t="shared" si="0"/>
        <v>상급침실료  원×6월 =0</v>
      </c>
      <c r="AJ14" s="299"/>
      <c r="AK14" s="299"/>
      <c r="AL14" s="299"/>
      <c r="AM14" s="299"/>
      <c r="AN14" s="299"/>
      <c r="AO14" s="299"/>
      <c r="AP14" s="299"/>
      <c r="AQ14" s="299"/>
      <c r="AR14" s="299"/>
      <c r="AS14" s="299"/>
      <c r="AT14" s="299"/>
    </row>
    <row r="15" spans="1:70" s="10" customFormat="1" ht="17.100000000000001" hidden="1" customHeight="1" x14ac:dyDescent="0.3">
      <c r="A15" s="11"/>
      <c r="B15" s="12"/>
      <c r="C15" s="272" t="s">
        <v>253</v>
      </c>
      <c r="D15" s="273"/>
      <c r="E15" s="273"/>
      <c r="F15" s="273"/>
      <c r="G15" s="273"/>
      <c r="H15" s="273"/>
      <c r="I15" s="273"/>
      <c r="J15" s="274"/>
      <c r="K15" s="272" t="s">
        <v>74</v>
      </c>
      <c r="L15" s="273"/>
      <c r="M15" s="273"/>
      <c r="N15" s="273"/>
      <c r="O15" s="273"/>
      <c r="P15" s="274"/>
      <c r="Q15" s="276"/>
      <c r="R15" s="276"/>
      <c r="S15" s="276"/>
      <c r="T15" s="276"/>
      <c r="U15" s="273" t="s">
        <v>379</v>
      </c>
      <c r="V15" s="273"/>
      <c r="W15" s="22">
        <f>예산서사전준비!$D$3</f>
        <v>6</v>
      </c>
      <c r="X15" s="273" t="s">
        <v>418</v>
      </c>
      <c r="Y15" s="273"/>
      <c r="Z15" s="22"/>
      <c r="AA15" s="273"/>
      <c r="AB15" s="273"/>
      <c r="AC15" s="275">
        <f>ROUNDUP(Q15*W15,-1)</f>
        <v>0</v>
      </c>
      <c r="AD15" s="276"/>
      <c r="AE15" s="276"/>
      <c r="AF15" s="276"/>
      <c r="AG15" s="276"/>
      <c r="AH15" s="301"/>
      <c r="AI15" s="299" t="str">
        <f t="shared" si="0"/>
        <v>이미용비  원×6월 =0</v>
      </c>
      <c r="AJ15" s="299"/>
      <c r="AK15" s="299"/>
      <c r="AL15" s="299"/>
      <c r="AM15" s="299"/>
      <c r="AN15" s="299"/>
      <c r="AO15" s="299"/>
      <c r="AP15" s="299"/>
      <c r="AQ15" s="299"/>
      <c r="AR15" s="299"/>
      <c r="AS15" s="299"/>
      <c r="AT15" s="299"/>
    </row>
    <row r="16" spans="1:70" s="10" customFormat="1" ht="17.100000000000001" hidden="1" customHeight="1" x14ac:dyDescent="0.3">
      <c r="A16" s="18"/>
      <c r="B16" s="21"/>
      <c r="C16" s="282" t="s">
        <v>330</v>
      </c>
      <c r="D16" s="283"/>
      <c r="E16" s="283"/>
      <c r="F16" s="283"/>
      <c r="G16" s="283"/>
      <c r="H16" s="283"/>
      <c r="I16" s="283"/>
      <c r="J16" s="284"/>
      <c r="K16" s="272" t="s">
        <v>258</v>
      </c>
      <c r="L16" s="273"/>
      <c r="M16" s="273"/>
      <c r="N16" s="273"/>
      <c r="O16" s="273"/>
      <c r="P16" s="274"/>
      <c r="Q16" s="276"/>
      <c r="R16" s="276"/>
      <c r="S16" s="276"/>
      <c r="T16" s="276"/>
      <c r="U16" s="273" t="s">
        <v>379</v>
      </c>
      <c r="V16" s="273"/>
      <c r="W16" s="22">
        <f>예산서사전준비!$D$3</f>
        <v>6</v>
      </c>
      <c r="X16" s="273" t="s">
        <v>418</v>
      </c>
      <c r="Y16" s="273"/>
      <c r="Z16" s="22"/>
      <c r="AA16" s="273"/>
      <c r="AB16" s="273"/>
      <c r="AC16" s="275">
        <f>ROUNDUP(Q16*W16,-1)</f>
        <v>0</v>
      </c>
      <c r="AD16" s="276"/>
      <c r="AE16" s="276"/>
      <c r="AF16" s="276"/>
      <c r="AG16" s="276"/>
      <c r="AH16" s="301"/>
      <c r="AI16" s="299" t="str">
        <f t="shared" si="0"/>
        <v>촉탁진료비 등  원×6월 =0</v>
      </c>
      <c r="AJ16" s="299"/>
      <c r="AK16" s="299"/>
      <c r="AL16" s="299"/>
      <c r="AM16" s="299"/>
      <c r="AN16" s="299"/>
      <c r="AO16" s="299"/>
      <c r="AP16" s="299"/>
      <c r="AQ16" s="299"/>
      <c r="AR16" s="299"/>
      <c r="AS16" s="299"/>
      <c r="AT16" s="299"/>
    </row>
    <row r="17" spans="1:46" s="10" customFormat="1" ht="17.100000000000001" hidden="1" customHeight="1" x14ac:dyDescent="0.3">
      <c r="A17" s="277" t="s">
        <v>83</v>
      </c>
      <c r="B17" s="278"/>
      <c r="C17" s="278"/>
      <c r="D17" s="278"/>
      <c r="E17" s="278"/>
      <c r="F17" s="278"/>
      <c r="G17" s="278"/>
      <c r="H17" s="278"/>
      <c r="I17" s="278"/>
      <c r="J17" s="278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302">
        <f>AC18</f>
        <v>0</v>
      </c>
      <c r="AD17" s="302"/>
      <c r="AE17" s="302"/>
      <c r="AF17" s="302"/>
      <c r="AG17" s="302"/>
      <c r="AH17" s="30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</row>
    <row r="18" spans="1:46" s="10" customFormat="1" ht="17.100000000000001" hidden="1" customHeight="1" x14ac:dyDescent="0.3">
      <c r="A18" s="11"/>
      <c r="B18" s="279" t="s">
        <v>87</v>
      </c>
      <c r="C18" s="280"/>
      <c r="D18" s="280"/>
      <c r="E18" s="280"/>
      <c r="F18" s="280"/>
      <c r="G18" s="280"/>
      <c r="H18" s="280"/>
      <c r="I18" s="280"/>
      <c r="J18" s="281"/>
      <c r="K18" s="279"/>
      <c r="L18" s="280"/>
      <c r="M18" s="280"/>
      <c r="N18" s="280"/>
      <c r="O18" s="280"/>
      <c r="P18" s="281"/>
      <c r="Q18" s="280"/>
      <c r="R18" s="280"/>
      <c r="S18" s="280"/>
      <c r="T18" s="280"/>
      <c r="U18" s="280"/>
      <c r="V18" s="280"/>
      <c r="W18" s="48"/>
      <c r="X18" s="280"/>
      <c r="Y18" s="280"/>
      <c r="Z18" s="48"/>
      <c r="AA18" s="280"/>
      <c r="AB18" s="280"/>
      <c r="AC18" s="289">
        <f>AC19</f>
        <v>0</v>
      </c>
      <c r="AD18" s="290"/>
      <c r="AE18" s="290"/>
      <c r="AF18" s="290"/>
      <c r="AG18" s="290"/>
      <c r="AH18" s="291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</row>
    <row r="19" spans="1:46" s="10" customFormat="1" ht="17.100000000000001" hidden="1" customHeight="1" x14ac:dyDescent="0.3">
      <c r="A19" s="18"/>
      <c r="B19" s="21"/>
      <c r="C19" s="272" t="s">
        <v>250</v>
      </c>
      <c r="D19" s="273"/>
      <c r="E19" s="273"/>
      <c r="F19" s="273"/>
      <c r="G19" s="273"/>
      <c r="H19" s="273"/>
      <c r="I19" s="273"/>
      <c r="J19" s="274"/>
      <c r="K19" s="272" t="s">
        <v>81</v>
      </c>
      <c r="L19" s="273"/>
      <c r="M19" s="273"/>
      <c r="N19" s="273"/>
      <c r="O19" s="273"/>
      <c r="P19" s="274"/>
      <c r="Q19" s="275"/>
      <c r="R19" s="276"/>
      <c r="S19" s="276"/>
      <c r="T19" s="276"/>
      <c r="U19" s="273" t="s">
        <v>379</v>
      </c>
      <c r="V19" s="273"/>
      <c r="W19" s="22">
        <f>예산서사전준비!$D$3</f>
        <v>6</v>
      </c>
      <c r="X19" s="273" t="s">
        <v>418</v>
      </c>
      <c r="Y19" s="273"/>
      <c r="Z19" s="22"/>
      <c r="AA19" s="273"/>
      <c r="AB19" s="274"/>
      <c r="AC19" s="275">
        <f>ROUNDUP(Q19*W19,-1)</f>
        <v>0</v>
      </c>
      <c r="AD19" s="276"/>
      <c r="AE19" s="276"/>
      <c r="AF19" s="276"/>
      <c r="AG19" s="276"/>
      <c r="AH19" s="301"/>
      <c r="AI19" s="299" t="str">
        <f>CONCATENATE(K19,Q19,U19,W19,X19,Z19,AA19,AC19)</f>
        <v>사업수입  원×6월 =0</v>
      </c>
      <c r="AJ19" s="299"/>
      <c r="AK19" s="299"/>
      <c r="AL19" s="299"/>
      <c r="AM19" s="299"/>
      <c r="AN19" s="299"/>
      <c r="AO19" s="299"/>
      <c r="AP19" s="299"/>
      <c r="AQ19" s="299"/>
      <c r="AR19" s="299"/>
      <c r="AS19" s="299"/>
      <c r="AT19" s="299"/>
    </row>
    <row r="20" spans="1:46" s="10" customFormat="1" ht="17.100000000000001" hidden="1" customHeight="1" x14ac:dyDescent="0.3">
      <c r="A20" s="277" t="s">
        <v>326</v>
      </c>
      <c r="B20" s="278"/>
      <c r="C20" s="278"/>
      <c r="D20" s="278"/>
      <c r="E20" s="278"/>
      <c r="F20" s="278"/>
      <c r="G20" s="278"/>
      <c r="H20" s="278"/>
      <c r="I20" s="278"/>
      <c r="J20" s="278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302">
        <f>AC21</f>
        <v>0</v>
      </c>
      <c r="AD20" s="302"/>
      <c r="AE20" s="302"/>
      <c r="AF20" s="302"/>
      <c r="AG20" s="302"/>
      <c r="AH20" s="30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</row>
    <row r="21" spans="1:46" s="10" customFormat="1" ht="17.100000000000001" hidden="1" customHeight="1" x14ac:dyDescent="0.3">
      <c r="A21" s="11"/>
      <c r="B21" s="279" t="s">
        <v>246</v>
      </c>
      <c r="C21" s="280"/>
      <c r="D21" s="280"/>
      <c r="E21" s="280"/>
      <c r="F21" s="280"/>
      <c r="G21" s="280"/>
      <c r="H21" s="280"/>
      <c r="I21" s="280"/>
      <c r="J21" s="281"/>
      <c r="K21" s="279"/>
      <c r="L21" s="280"/>
      <c r="M21" s="280"/>
      <c r="N21" s="280"/>
      <c r="O21" s="280"/>
      <c r="P21" s="281"/>
      <c r="Q21" s="280"/>
      <c r="R21" s="280"/>
      <c r="S21" s="280"/>
      <c r="T21" s="280"/>
      <c r="U21" s="280"/>
      <c r="V21" s="280"/>
      <c r="W21" s="48"/>
      <c r="X21" s="280"/>
      <c r="Y21" s="280"/>
      <c r="Z21" s="48"/>
      <c r="AA21" s="280"/>
      <c r="AB21" s="280"/>
      <c r="AC21" s="289">
        <f>AC22</f>
        <v>0</v>
      </c>
      <c r="AD21" s="290"/>
      <c r="AE21" s="290"/>
      <c r="AF21" s="290"/>
      <c r="AG21" s="290"/>
      <c r="AH21" s="291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</row>
    <row r="22" spans="1:46" s="10" customFormat="1" ht="17.100000000000001" hidden="1" customHeight="1" x14ac:dyDescent="0.3">
      <c r="A22" s="18"/>
      <c r="B22" s="21"/>
      <c r="C22" s="272" t="s">
        <v>248</v>
      </c>
      <c r="D22" s="273"/>
      <c r="E22" s="273"/>
      <c r="F22" s="273"/>
      <c r="G22" s="273"/>
      <c r="H22" s="273"/>
      <c r="I22" s="273"/>
      <c r="J22" s="274"/>
      <c r="K22" s="272" t="s">
        <v>114</v>
      </c>
      <c r="L22" s="273"/>
      <c r="M22" s="273"/>
      <c r="N22" s="273"/>
      <c r="O22" s="273"/>
      <c r="P22" s="274"/>
      <c r="Q22" s="275"/>
      <c r="R22" s="276"/>
      <c r="S22" s="276"/>
      <c r="T22" s="276"/>
      <c r="U22" s="273" t="s">
        <v>379</v>
      </c>
      <c r="V22" s="273"/>
      <c r="W22" s="22">
        <f>예산서사전준비!$D$3</f>
        <v>6</v>
      </c>
      <c r="X22" s="273" t="s">
        <v>418</v>
      </c>
      <c r="Y22" s="273"/>
      <c r="Z22" s="22"/>
      <c r="AA22" s="273"/>
      <c r="AB22" s="274"/>
      <c r="AC22" s="275">
        <f>ROUNDUP(Q22*W22,-1)</f>
        <v>0</v>
      </c>
      <c r="AD22" s="276"/>
      <c r="AE22" s="276"/>
      <c r="AF22" s="276"/>
      <c r="AG22" s="276"/>
      <c r="AH22" s="301"/>
      <c r="AI22" s="299" t="str">
        <f>CONCATENATE(K22,Q22,U22,W22,X22,Z22,AA22,AC22)</f>
        <v>과년도수입  원×6월 =0</v>
      </c>
      <c r="AJ22" s="299"/>
      <c r="AK22" s="299"/>
      <c r="AL22" s="299"/>
      <c r="AM22" s="299"/>
      <c r="AN22" s="299"/>
      <c r="AO22" s="299"/>
      <c r="AP22" s="299"/>
      <c r="AQ22" s="299"/>
      <c r="AR22" s="299"/>
      <c r="AS22" s="299"/>
      <c r="AT22" s="299"/>
    </row>
    <row r="23" spans="1:46" s="10" customFormat="1" ht="17.100000000000001" hidden="1" customHeight="1" x14ac:dyDescent="0.3">
      <c r="A23" s="277" t="s">
        <v>324</v>
      </c>
      <c r="B23" s="278"/>
      <c r="C23" s="278"/>
      <c r="D23" s="278"/>
      <c r="E23" s="278"/>
      <c r="F23" s="278"/>
      <c r="G23" s="278"/>
      <c r="H23" s="278"/>
      <c r="I23" s="278"/>
      <c r="J23" s="278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302">
        <f>AC24</f>
        <v>0</v>
      </c>
      <c r="AD23" s="302"/>
      <c r="AE23" s="302"/>
      <c r="AF23" s="302"/>
      <c r="AG23" s="302"/>
      <c r="AH23" s="30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</row>
    <row r="24" spans="1:46" s="10" customFormat="1" ht="17.100000000000001" hidden="1" customHeight="1" x14ac:dyDescent="0.3">
      <c r="A24" s="11"/>
      <c r="B24" s="279" t="s">
        <v>325</v>
      </c>
      <c r="C24" s="280"/>
      <c r="D24" s="280"/>
      <c r="E24" s="280"/>
      <c r="F24" s="280"/>
      <c r="G24" s="280"/>
      <c r="H24" s="280"/>
      <c r="I24" s="280"/>
      <c r="J24" s="281"/>
      <c r="K24" s="47"/>
      <c r="L24" s="48"/>
      <c r="M24" s="48"/>
      <c r="N24" s="48"/>
      <c r="O24" s="48"/>
      <c r="P24" s="49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289">
        <f>AC25+AC26+AC27+AC31</f>
        <v>0</v>
      </c>
      <c r="AD24" s="290"/>
      <c r="AE24" s="290"/>
      <c r="AF24" s="290"/>
      <c r="AG24" s="290"/>
      <c r="AH24" s="291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</row>
    <row r="25" spans="1:46" s="10" customFormat="1" ht="17.100000000000001" hidden="1" customHeight="1" x14ac:dyDescent="0.3">
      <c r="A25" s="11"/>
      <c r="B25" s="12"/>
      <c r="C25" s="272" t="s">
        <v>331</v>
      </c>
      <c r="D25" s="273"/>
      <c r="E25" s="273"/>
      <c r="F25" s="273"/>
      <c r="G25" s="273"/>
      <c r="H25" s="273"/>
      <c r="I25" s="273"/>
      <c r="J25" s="274"/>
      <c r="K25" s="272" t="s">
        <v>88</v>
      </c>
      <c r="L25" s="273"/>
      <c r="M25" s="273"/>
      <c r="N25" s="273"/>
      <c r="O25" s="273"/>
      <c r="P25" s="274"/>
      <c r="Q25" s="275"/>
      <c r="R25" s="276"/>
      <c r="S25" s="276"/>
      <c r="T25" s="276"/>
      <c r="U25" s="273" t="s">
        <v>379</v>
      </c>
      <c r="V25" s="273"/>
      <c r="W25" s="22">
        <f>예산서사전준비!$D$3</f>
        <v>6</v>
      </c>
      <c r="X25" s="273" t="s">
        <v>418</v>
      </c>
      <c r="Y25" s="273"/>
      <c r="Z25" s="22"/>
      <c r="AA25" s="273"/>
      <c r="AB25" s="274"/>
      <c r="AC25" s="275">
        <f>ROUNDUP(Q25*W25,-1)</f>
        <v>0</v>
      </c>
      <c r="AD25" s="276"/>
      <c r="AE25" s="276"/>
      <c r="AF25" s="276"/>
      <c r="AG25" s="276"/>
      <c r="AH25" s="301"/>
      <c r="AI25" s="299" t="str">
        <f>CONCATENATE(K25,Q25,U25,W25,X25,Z25,AA25,AC25)</f>
        <v>국고보조금  원×6월 =0</v>
      </c>
      <c r="AJ25" s="299"/>
      <c r="AK25" s="299"/>
      <c r="AL25" s="299"/>
      <c r="AM25" s="299"/>
      <c r="AN25" s="299"/>
      <c r="AO25" s="299"/>
      <c r="AP25" s="299"/>
      <c r="AQ25" s="299"/>
      <c r="AR25" s="299"/>
      <c r="AS25" s="299"/>
      <c r="AT25" s="299"/>
    </row>
    <row r="26" spans="1:46" s="10" customFormat="1" ht="17.100000000000001" hidden="1" customHeight="1" x14ac:dyDescent="0.3">
      <c r="A26" s="11"/>
      <c r="B26" s="12"/>
      <c r="C26" s="272" t="s">
        <v>311</v>
      </c>
      <c r="D26" s="273"/>
      <c r="E26" s="273"/>
      <c r="F26" s="273"/>
      <c r="G26" s="273"/>
      <c r="H26" s="273"/>
      <c r="I26" s="273"/>
      <c r="J26" s="274"/>
      <c r="K26" s="272" t="s">
        <v>70</v>
      </c>
      <c r="L26" s="273"/>
      <c r="M26" s="273"/>
      <c r="N26" s="273"/>
      <c r="O26" s="273"/>
      <c r="P26" s="274"/>
      <c r="Q26" s="297"/>
      <c r="R26" s="297"/>
      <c r="S26" s="297"/>
      <c r="T26" s="297"/>
      <c r="U26" s="283" t="s">
        <v>379</v>
      </c>
      <c r="V26" s="283"/>
      <c r="W26" s="17">
        <f>예산서사전준비!$D$3</f>
        <v>6</v>
      </c>
      <c r="X26" s="283" t="s">
        <v>418</v>
      </c>
      <c r="Y26" s="283"/>
      <c r="Z26" s="37"/>
      <c r="AA26" s="283"/>
      <c r="AB26" s="283"/>
      <c r="AC26" s="304">
        <f>ROUNDUP(Q26*W26,-1)</f>
        <v>0</v>
      </c>
      <c r="AD26" s="297"/>
      <c r="AE26" s="297"/>
      <c r="AF26" s="297"/>
      <c r="AG26" s="297"/>
      <c r="AH26" s="305"/>
      <c r="AI26" s="299" t="str">
        <f>CONCATENATE(K26,Q26,U26,W26,X26,Z26,AA26,AC26)</f>
        <v>시도보조금  원×6월 =0</v>
      </c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</row>
    <row r="27" spans="1:46" s="10" customFormat="1" ht="17.100000000000001" hidden="1" customHeight="1" x14ac:dyDescent="0.3">
      <c r="A27" s="11"/>
      <c r="B27" s="12"/>
      <c r="C27" s="294" t="s">
        <v>328</v>
      </c>
      <c r="D27" s="295"/>
      <c r="E27" s="295"/>
      <c r="F27" s="295"/>
      <c r="G27" s="295"/>
      <c r="H27" s="295"/>
      <c r="I27" s="295"/>
      <c r="J27" s="296"/>
      <c r="K27" s="23"/>
      <c r="L27" s="13"/>
      <c r="M27" s="13"/>
      <c r="N27" s="13"/>
      <c r="O27" s="13"/>
      <c r="P27" s="2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309">
        <f>AC28+AC29+AC30</f>
        <v>0</v>
      </c>
      <c r="AD27" s="310"/>
      <c r="AE27" s="310"/>
      <c r="AF27" s="310"/>
      <c r="AG27" s="310"/>
      <c r="AH27" s="311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</row>
    <row r="28" spans="1:46" s="10" customFormat="1" ht="17.100000000000001" hidden="1" customHeight="1" x14ac:dyDescent="0.3">
      <c r="A28" s="11"/>
      <c r="B28" s="12"/>
      <c r="C28" s="11"/>
      <c r="D28" s="15"/>
      <c r="E28" s="15"/>
      <c r="F28" s="15"/>
      <c r="G28" s="15"/>
      <c r="H28" s="15"/>
      <c r="I28" s="15"/>
      <c r="J28" s="16"/>
      <c r="K28" s="285" t="s">
        <v>113</v>
      </c>
      <c r="L28" s="263"/>
      <c r="M28" s="263"/>
      <c r="N28" s="263"/>
      <c r="O28" s="263"/>
      <c r="P28" s="286"/>
      <c r="Q28" s="298">
        <f>'수가정보 및 인건비비율'!$B$5</f>
        <v>0</v>
      </c>
      <c r="R28" s="298"/>
      <c r="S28" s="298"/>
      <c r="T28" s="298"/>
      <c r="U28" s="263" t="s">
        <v>379</v>
      </c>
      <c r="V28" s="263"/>
      <c r="W28" s="17">
        <f>예산서사전준비!$B$14</f>
        <v>0</v>
      </c>
      <c r="X28" s="263" t="s">
        <v>406</v>
      </c>
      <c r="Y28" s="263"/>
      <c r="Z28" s="17">
        <f>예산서사전준비!$D$3</f>
        <v>6</v>
      </c>
      <c r="AA28" s="263" t="s">
        <v>418</v>
      </c>
      <c r="AB28" s="263"/>
      <c r="AC28" s="306">
        <f>ROUNDUP(Q28*W28*Z28,-1)</f>
        <v>0</v>
      </c>
      <c r="AD28" s="298"/>
      <c r="AE28" s="298"/>
      <c r="AF28" s="298"/>
      <c r="AG28" s="298"/>
      <c r="AH28" s="307"/>
      <c r="AI28" s="299" t="str">
        <f>CONCATENATE(K28,Q28,U28,W28,X28,Z28,AA28,AC28)</f>
        <v>생계비  0원×0명×6월 =0</v>
      </c>
      <c r="AJ28" s="299"/>
      <c r="AK28" s="299"/>
      <c r="AL28" s="299"/>
      <c r="AM28" s="299"/>
      <c r="AN28" s="299"/>
      <c r="AO28" s="299"/>
      <c r="AP28" s="299"/>
      <c r="AQ28" s="299"/>
      <c r="AR28" s="299"/>
      <c r="AS28" s="299"/>
      <c r="AT28" s="299"/>
    </row>
    <row r="29" spans="1:46" s="10" customFormat="1" ht="17.100000000000001" hidden="1" customHeight="1" x14ac:dyDescent="0.3">
      <c r="A29" s="11"/>
      <c r="B29" s="12"/>
      <c r="C29" s="11"/>
      <c r="D29" s="15"/>
      <c r="E29" s="15"/>
      <c r="F29" s="15"/>
      <c r="G29" s="15"/>
      <c r="H29" s="15"/>
      <c r="I29" s="15"/>
      <c r="J29" s="16"/>
      <c r="K29" s="285" t="s">
        <v>79</v>
      </c>
      <c r="L29" s="263"/>
      <c r="M29" s="263"/>
      <c r="N29" s="263"/>
      <c r="O29" s="263"/>
      <c r="P29" s="286"/>
      <c r="Q29" s="298">
        <f>'수가정보 및 인건비비율'!$C$5</f>
        <v>0</v>
      </c>
      <c r="R29" s="298"/>
      <c r="S29" s="298"/>
      <c r="T29" s="298"/>
      <c r="U29" s="263" t="s">
        <v>379</v>
      </c>
      <c r="V29" s="263"/>
      <c r="W29" s="17">
        <f>예산서사전준비!$B$14</f>
        <v>0</v>
      </c>
      <c r="X29" s="263" t="s">
        <v>406</v>
      </c>
      <c r="Y29" s="263"/>
      <c r="Z29" s="17">
        <v>2</v>
      </c>
      <c r="AA29" s="263" t="s">
        <v>418</v>
      </c>
      <c r="AB29" s="263"/>
      <c r="AC29" s="306">
        <f>ROUNDUP(Q29*W29*Z29,-1)</f>
        <v>0</v>
      </c>
      <c r="AD29" s="298"/>
      <c r="AE29" s="298"/>
      <c r="AF29" s="298"/>
      <c r="AG29" s="298"/>
      <c r="AH29" s="307"/>
      <c r="AI29" s="299" t="str">
        <f>CONCATENATE(K29,Q29,U29,W29,X29,Z29,AA29,AC29)</f>
        <v>특별위로금  0원×0명×2월 =0</v>
      </c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</row>
    <row r="30" spans="1:46" s="10" customFormat="1" ht="17.100000000000001" hidden="1" customHeight="1" x14ac:dyDescent="0.3">
      <c r="A30" s="11"/>
      <c r="B30" s="12"/>
      <c r="C30" s="18"/>
      <c r="D30" s="19"/>
      <c r="E30" s="19"/>
      <c r="F30" s="19"/>
      <c r="G30" s="19"/>
      <c r="H30" s="19"/>
      <c r="I30" s="19"/>
      <c r="J30" s="20"/>
      <c r="K30" s="285" t="s">
        <v>138</v>
      </c>
      <c r="L30" s="263"/>
      <c r="M30" s="263"/>
      <c r="N30" s="263"/>
      <c r="O30" s="263"/>
      <c r="P30" s="286"/>
      <c r="Q30" s="298">
        <f>'수가정보 및 인건비비율'!$D$5</f>
        <v>0</v>
      </c>
      <c r="R30" s="298"/>
      <c r="S30" s="298"/>
      <c r="T30" s="298"/>
      <c r="U30" s="263" t="s">
        <v>379</v>
      </c>
      <c r="V30" s="263"/>
      <c r="W30" s="17">
        <f>예산서사전준비!$B$14</f>
        <v>0</v>
      </c>
      <c r="X30" s="263" t="s">
        <v>406</v>
      </c>
      <c r="Y30" s="263"/>
      <c r="Z30" s="17">
        <v>1</v>
      </c>
      <c r="AA30" s="263" t="s">
        <v>418</v>
      </c>
      <c r="AB30" s="263"/>
      <c r="AC30" s="306">
        <f>ROUNDUP(Q30*W30*Z30,-1)</f>
        <v>0</v>
      </c>
      <c r="AD30" s="298"/>
      <c r="AE30" s="298"/>
      <c r="AF30" s="298"/>
      <c r="AG30" s="298"/>
      <c r="AH30" s="307"/>
      <c r="AI30" s="299" t="str">
        <f>CONCATENATE(K30,Q30,U30,W30,X30,Z30,AA30,AC30)</f>
        <v>월동대책비  0원×0명×1월 =0</v>
      </c>
      <c r="AJ30" s="299"/>
      <c r="AK30" s="299"/>
      <c r="AL30" s="299"/>
      <c r="AM30" s="299"/>
      <c r="AN30" s="299"/>
      <c r="AO30" s="299"/>
      <c r="AP30" s="299"/>
      <c r="AQ30" s="299"/>
      <c r="AR30" s="299"/>
      <c r="AS30" s="299"/>
      <c r="AT30" s="299"/>
    </row>
    <row r="31" spans="1:46" s="10" customFormat="1" ht="17.100000000000001" hidden="1" customHeight="1" x14ac:dyDescent="0.3">
      <c r="A31" s="18"/>
      <c r="B31" s="21"/>
      <c r="C31" s="272" t="s">
        <v>237</v>
      </c>
      <c r="D31" s="273"/>
      <c r="E31" s="273"/>
      <c r="F31" s="273"/>
      <c r="G31" s="273"/>
      <c r="H31" s="273"/>
      <c r="I31" s="273"/>
      <c r="J31" s="274"/>
      <c r="K31" s="272" t="s">
        <v>146</v>
      </c>
      <c r="L31" s="273"/>
      <c r="M31" s="273"/>
      <c r="N31" s="273"/>
      <c r="O31" s="273"/>
      <c r="P31" s="274"/>
      <c r="Q31" s="275"/>
      <c r="R31" s="276"/>
      <c r="S31" s="276"/>
      <c r="T31" s="276"/>
      <c r="U31" s="273" t="s">
        <v>379</v>
      </c>
      <c r="V31" s="273"/>
      <c r="W31" s="22">
        <f>예산서사전준비!$D$3</f>
        <v>6</v>
      </c>
      <c r="X31" s="273" t="s">
        <v>418</v>
      </c>
      <c r="Y31" s="273"/>
      <c r="Z31" s="22"/>
      <c r="AA31" s="273"/>
      <c r="AB31" s="273"/>
      <c r="AC31" s="275">
        <f>ROUNDUP(Q31*W31,-1)</f>
        <v>0</v>
      </c>
      <c r="AD31" s="276"/>
      <c r="AE31" s="276"/>
      <c r="AF31" s="276"/>
      <c r="AG31" s="276"/>
      <c r="AH31" s="301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</row>
    <row r="32" spans="1:46" s="10" customFormat="1" ht="17.100000000000001" hidden="1" customHeight="1" x14ac:dyDescent="0.3">
      <c r="A32" s="277" t="s">
        <v>242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302">
        <f>AC33</f>
        <v>0</v>
      </c>
      <c r="AD32" s="302"/>
      <c r="AE32" s="302"/>
      <c r="AF32" s="302"/>
      <c r="AG32" s="302"/>
      <c r="AH32" s="30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</row>
    <row r="33" spans="1:46" s="10" customFormat="1" ht="17.100000000000001" hidden="1" customHeight="1" x14ac:dyDescent="0.3">
      <c r="A33" s="11"/>
      <c r="B33" s="279" t="s">
        <v>247</v>
      </c>
      <c r="C33" s="280"/>
      <c r="D33" s="280"/>
      <c r="E33" s="280"/>
      <c r="F33" s="280"/>
      <c r="G33" s="280"/>
      <c r="H33" s="280"/>
      <c r="I33" s="280"/>
      <c r="J33" s="281"/>
      <c r="K33" s="279"/>
      <c r="L33" s="280"/>
      <c r="M33" s="280"/>
      <c r="N33" s="280"/>
      <c r="O33" s="280"/>
      <c r="P33" s="281"/>
      <c r="Q33" s="332"/>
      <c r="R33" s="333"/>
      <c r="S33" s="333"/>
      <c r="T33" s="333"/>
      <c r="U33" s="333"/>
      <c r="V33" s="333"/>
      <c r="W33" s="66"/>
      <c r="X33" s="333"/>
      <c r="Y33" s="333"/>
      <c r="Z33" s="66"/>
      <c r="AA33" s="333"/>
      <c r="AB33" s="333"/>
      <c r="AC33" s="312">
        <f>AC34+AC35</f>
        <v>0</v>
      </c>
      <c r="AD33" s="313"/>
      <c r="AE33" s="313"/>
      <c r="AF33" s="313"/>
      <c r="AG33" s="313"/>
      <c r="AH33" s="314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</row>
    <row r="34" spans="1:46" s="10" customFormat="1" ht="17.100000000000001" hidden="1" customHeight="1" x14ac:dyDescent="0.3">
      <c r="A34" s="11"/>
      <c r="B34" s="12"/>
      <c r="C34" s="272" t="s">
        <v>245</v>
      </c>
      <c r="D34" s="273"/>
      <c r="E34" s="273"/>
      <c r="F34" s="273"/>
      <c r="G34" s="273"/>
      <c r="H34" s="273"/>
      <c r="I34" s="273"/>
      <c r="J34" s="274"/>
      <c r="K34" s="272" t="s">
        <v>106</v>
      </c>
      <c r="L34" s="273"/>
      <c r="M34" s="273"/>
      <c r="N34" s="273"/>
      <c r="O34" s="273"/>
      <c r="P34" s="274"/>
      <c r="Q34" s="275"/>
      <c r="R34" s="276"/>
      <c r="S34" s="276"/>
      <c r="T34" s="276"/>
      <c r="U34" s="273" t="s">
        <v>379</v>
      </c>
      <c r="V34" s="273"/>
      <c r="W34" s="22">
        <f>예산서사전준비!$D$3</f>
        <v>6</v>
      </c>
      <c r="X34" s="273" t="s">
        <v>418</v>
      </c>
      <c r="Y34" s="273"/>
      <c r="Z34" s="22"/>
      <c r="AA34" s="273"/>
      <c r="AB34" s="274"/>
      <c r="AC34" s="275">
        <f>ROUNDUP(Q34*W34,-1)</f>
        <v>0</v>
      </c>
      <c r="AD34" s="276"/>
      <c r="AE34" s="276"/>
      <c r="AF34" s="276"/>
      <c r="AG34" s="276"/>
      <c r="AH34" s="301"/>
      <c r="AI34" s="299" t="str">
        <f>CONCATENATE(K34,Q34,U34,W34,X34,Z34,AA34,AC34)</f>
        <v>지정후원금  원×6월 =0</v>
      </c>
      <c r="AJ34" s="299"/>
      <c r="AK34" s="299"/>
      <c r="AL34" s="299"/>
      <c r="AM34" s="299"/>
      <c r="AN34" s="299"/>
      <c r="AO34" s="299"/>
      <c r="AP34" s="299"/>
      <c r="AQ34" s="299"/>
      <c r="AR34" s="299"/>
      <c r="AS34" s="299"/>
      <c r="AT34" s="299"/>
    </row>
    <row r="35" spans="1:46" s="10" customFormat="1" ht="17.100000000000001" hidden="1" customHeight="1" x14ac:dyDescent="0.3">
      <c r="A35" s="11"/>
      <c r="B35" s="12"/>
      <c r="C35" s="285" t="s">
        <v>251</v>
      </c>
      <c r="D35" s="263"/>
      <c r="E35" s="263"/>
      <c r="F35" s="263"/>
      <c r="G35" s="263"/>
      <c r="H35" s="263"/>
      <c r="I35" s="263"/>
      <c r="J35" s="286"/>
      <c r="K35" s="294" t="s">
        <v>265</v>
      </c>
      <c r="L35" s="295"/>
      <c r="M35" s="295"/>
      <c r="N35" s="295"/>
      <c r="O35" s="295"/>
      <c r="P35" s="296"/>
      <c r="Q35" s="298">
        <f>예산서사전준비!$B$26</f>
        <v>0</v>
      </c>
      <c r="R35" s="298"/>
      <c r="S35" s="298"/>
      <c r="T35" s="298"/>
      <c r="U35" s="263" t="s">
        <v>379</v>
      </c>
      <c r="V35" s="263"/>
      <c r="W35" s="17">
        <f>예산서사전준비!$D$3</f>
        <v>6</v>
      </c>
      <c r="X35" s="263" t="s">
        <v>418</v>
      </c>
      <c r="Y35" s="263"/>
      <c r="Z35" s="17"/>
      <c r="AA35" s="263"/>
      <c r="AB35" s="263"/>
      <c r="AC35" s="306">
        <f>ROUNDUP(Q35*W35,-1)</f>
        <v>0</v>
      </c>
      <c r="AD35" s="298"/>
      <c r="AE35" s="298"/>
      <c r="AF35" s="298"/>
      <c r="AG35" s="298"/>
      <c r="AH35" s="307"/>
      <c r="AI35" s="299" t="str">
        <f>CONCATENATE(K35,Q35,U35,W35,X35,Z35,AA35,AC35)</f>
        <v>비지정후원금  0원×6월 =0</v>
      </c>
      <c r="AJ35" s="299"/>
      <c r="AK35" s="299"/>
      <c r="AL35" s="299"/>
      <c r="AM35" s="299"/>
      <c r="AN35" s="299"/>
      <c r="AO35" s="299"/>
      <c r="AP35" s="299"/>
      <c r="AQ35" s="299"/>
      <c r="AR35" s="299"/>
      <c r="AS35" s="299"/>
      <c r="AT35" s="299"/>
    </row>
    <row r="36" spans="1:46" s="10" customFormat="1" ht="17.100000000000001" customHeight="1" x14ac:dyDescent="0.3">
      <c r="A36" s="277" t="s">
        <v>252</v>
      </c>
      <c r="B36" s="278"/>
      <c r="C36" s="278"/>
      <c r="D36" s="278"/>
      <c r="E36" s="278"/>
      <c r="F36" s="278"/>
      <c r="G36" s="278"/>
      <c r="H36" s="278"/>
      <c r="I36" s="278"/>
      <c r="J36" s="278"/>
      <c r="K36" s="295"/>
      <c r="L36" s="295"/>
      <c r="M36" s="295"/>
      <c r="N36" s="295"/>
      <c r="O36" s="295"/>
      <c r="P36" s="295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302">
        <f>AC37</f>
        <v>54045000</v>
      </c>
      <c r="AD36" s="302"/>
      <c r="AE36" s="302"/>
      <c r="AF36" s="302"/>
      <c r="AG36" s="302"/>
      <c r="AH36" s="303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</row>
    <row r="37" spans="1:46" s="10" customFormat="1" ht="17.100000000000001" customHeight="1" x14ac:dyDescent="0.3">
      <c r="A37" s="11"/>
      <c r="B37" s="279" t="s">
        <v>243</v>
      </c>
      <c r="C37" s="280"/>
      <c r="D37" s="280"/>
      <c r="E37" s="280"/>
      <c r="F37" s="280"/>
      <c r="G37" s="280"/>
      <c r="H37" s="280"/>
      <c r="I37" s="280"/>
      <c r="J37" s="281"/>
      <c r="K37" s="47"/>
      <c r="L37" s="48"/>
      <c r="M37" s="48"/>
      <c r="N37" s="48"/>
      <c r="O37" s="48"/>
      <c r="P37" s="49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289">
        <f>AC38+AC42</f>
        <v>54045000</v>
      </c>
      <c r="AD37" s="290"/>
      <c r="AE37" s="290"/>
      <c r="AF37" s="290"/>
      <c r="AG37" s="290"/>
      <c r="AH37" s="291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</row>
    <row r="38" spans="1:46" s="10" customFormat="1" ht="17.100000000000001" customHeight="1" x14ac:dyDescent="0.3">
      <c r="A38" s="11"/>
      <c r="B38" s="12"/>
      <c r="C38" s="294" t="s">
        <v>33</v>
      </c>
      <c r="D38" s="295"/>
      <c r="E38" s="295"/>
      <c r="F38" s="295"/>
      <c r="G38" s="295"/>
      <c r="H38" s="295"/>
      <c r="I38" s="295"/>
      <c r="J38" s="296"/>
      <c r="K38" s="294"/>
      <c r="L38" s="295"/>
      <c r="M38" s="295"/>
      <c r="N38" s="295"/>
      <c r="O38" s="295"/>
      <c r="P38" s="296"/>
      <c r="Q38" s="334"/>
      <c r="R38" s="334"/>
      <c r="S38" s="334"/>
      <c r="T38" s="334"/>
      <c r="U38" s="13"/>
      <c r="V38" s="13"/>
      <c r="W38" s="13"/>
      <c r="X38" s="13"/>
      <c r="Y38" s="13"/>
      <c r="Z38" s="13"/>
      <c r="AA38" s="13"/>
      <c r="AB38" s="13"/>
      <c r="AC38" s="309">
        <f>AC39+AC40+AC41</f>
        <v>54045000</v>
      </c>
      <c r="AD38" s="310"/>
      <c r="AE38" s="310"/>
      <c r="AF38" s="310"/>
      <c r="AG38" s="310"/>
      <c r="AH38" s="311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</row>
    <row r="39" spans="1:46" s="10" customFormat="1" ht="17.100000000000001" customHeight="1" x14ac:dyDescent="0.3">
      <c r="A39" s="11"/>
      <c r="B39" s="12"/>
      <c r="C39" s="18"/>
      <c r="D39" s="19"/>
      <c r="E39" s="19"/>
      <c r="F39" s="19"/>
      <c r="G39" s="19"/>
      <c r="H39" s="19"/>
      <c r="I39" s="19"/>
      <c r="J39" s="20"/>
      <c r="K39" s="282" t="s">
        <v>484</v>
      </c>
      <c r="L39" s="283"/>
      <c r="M39" s="283"/>
      <c r="N39" s="283"/>
      <c r="O39" s="283"/>
      <c r="P39" s="284"/>
      <c r="Q39" s="297">
        <f>ROUNDUP('수가정보 및 인건비비율'!G21*26,-3)</f>
        <v>1201000</v>
      </c>
      <c r="R39" s="297"/>
      <c r="S39" s="297"/>
      <c r="T39" s="297"/>
      <c r="U39" s="283" t="s">
        <v>379</v>
      </c>
      <c r="V39" s="283"/>
      <c r="W39" s="37">
        <f>W10</f>
        <v>15</v>
      </c>
      <c r="X39" s="283" t="s">
        <v>406</v>
      </c>
      <c r="Y39" s="283"/>
      <c r="Z39" s="37">
        <v>3</v>
      </c>
      <c r="AA39" s="283" t="s">
        <v>418</v>
      </c>
      <c r="AB39" s="283"/>
      <c r="AC39" s="304">
        <f>ROUNDUP(Q39*W39*Z39,-1)</f>
        <v>54045000</v>
      </c>
      <c r="AD39" s="297"/>
      <c r="AE39" s="297"/>
      <c r="AF39" s="297"/>
      <c r="AG39" s="297"/>
      <c r="AH39" s="305"/>
      <c r="AI39" s="299" t="str">
        <f>CONCATENATE(K39,Q39,U39,W39,X39,Z39,AA39,AC39)</f>
        <v>월평균 장기요양급여1201000원×15명×3월 =54045000</v>
      </c>
      <c r="AJ39" s="299"/>
      <c r="AK39" s="299"/>
      <c r="AL39" s="299"/>
      <c r="AM39" s="299"/>
      <c r="AN39" s="299"/>
      <c r="AO39" s="299"/>
      <c r="AP39" s="299"/>
      <c r="AQ39" s="299"/>
      <c r="AR39" s="299"/>
      <c r="AS39" s="299"/>
      <c r="AT39" s="299"/>
    </row>
    <row r="40" spans="1:46" s="10" customFormat="1" ht="17.100000000000001" hidden="1" customHeight="1" x14ac:dyDescent="0.3">
      <c r="A40" s="11"/>
      <c r="B40" s="12"/>
      <c r="C40" s="11"/>
      <c r="D40" s="15"/>
      <c r="E40" s="15"/>
      <c r="F40" s="15"/>
      <c r="G40" s="15"/>
      <c r="H40" s="15"/>
      <c r="I40" s="15"/>
      <c r="J40" s="16"/>
      <c r="K40" s="285"/>
      <c r="L40" s="263"/>
      <c r="M40" s="263"/>
      <c r="N40" s="263"/>
      <c r="O40" s="263"/>
      <c r="P40" s="286"/>
      <c r="Q40" s="298"/>
      <c r="R40" s="298"/>
      <c r="S40" s="298"/>
      <c r="T40" s="298"/>
      <c r="U40" s="263" t="s">
        <v>379</v>
      </c>
      <c r="V40" s="263"/>
      <c r="W40" s="17"/>
      <c r="X40" s="263" t="s">
        <v>406</v>
      </c>
      <c r="Y40" s="263"/>
      <c r="Z40" s="17"/>
      <c r="AA40" s="263" t="s">
        <v>418</v>
      </c>
      <c r="AB40" s="263"/>
      <c r="AC40" s="306">
        <f>ROUNDUP(Q40*W40*Z40,-1)</f>
        <v>0</v>
      </c>
      <c r="AD40" s="298"/>
      <c r="AE40" s="298"/>
      <c r="AF40" s="298"/>
      <c r="AG40" s="298"/>
      <c r="AH40" s="307"/>
      <c r="AI40" s="299" t="str">
        <f>CONCATENATE(K40,Q40,U40,W40,X40,Z40,AA40,AC40)</f>
        <v>원×명×월 =0</v>
      </c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</row>
    <row r="41" spans="1:46" s="10" customFormat="1" ht="17.100000000000001" hidden="1" customHeight="1" x14ac:dyDescent="0.3">
      <c r="A41" s="11"/>
      <c r="B41" s="12"/>
      <c r="C41" s="11"/>
      <c r="D41" s="15"/>
      <c r="E41" s="15"/>
      <c r="F41" s="15"/>
      <c r="G41" s="15"/>
      <c r="H41" s="15"/>
      <c r="I41" s="15"/>
      <c r="J41" s="16"/>
      <c r="K41" s="282"/>
      <c r="L41" s="283"/>
      <c r="M41" s="283"/>
      <c r="N41" s="283"/>
      <c r="O41" s="283"/>
      <c r="P41" s="284"/>
      <c r="Q41" s="304"/>
      <c r="R41" s="297"/>
      <c r="S41" s="297"/>
      <c r="T41" s="297"/>
      <c r="U41" s="283" t="s">
        <v>379</v>
      </c>
      <c r="V41" s="283"/>
      <c r="W41" s="37"/>
      <c r="X41" s="283" t="s">
        <v>406</v>
      </c>
      <c r="Y41" s="283"/>
      <c r="Z41" s="37"/>
      <c r="AA41" s="283" t="s">
        <v>418</v>
      </c>
      <c r="AB41" s="283"/>
      <c r="AC41" s="304">
        <f>ROUNDUP(Q41*W41*Z41,-1)</f>
        <v>0</v>
      </c>
      <c r="AD41" s="297"/>
      <c r="AE41" s="297"/>
      <c r="AF41" s="297"/>
      <c r="AG41" s="297"/>
      <c r="AH41" s="305"/>
      <c r="AI41" s="299" t="str">
        <f>CONCATENATE(K41,Q41,U41,W41,X41,Z41,AA41,AC41)</f>
        <v>원×명×월 =0</v>
      </c>
      <c r="AJ41" s="299"/>
      <c r="AK41" s="299"/>
      <c r="AL41" s="299"/>
      <c r="AM41" s="299"/>
      <c r="AN41" s="299"/>
      <c r="AO41" s="299"/>
      <c r="AP41" s="299"/>
      <c r="AQ41" s="299"/>
      <c r="AR41" s="299"/>
      <c r="AS41" s="299"/>
      <c r="AT41" s="299"/>
    </row>
    <row r="42" spans="1:46" s="10" customFormat="1" ht="17.100000000000001" hidden="1" customHeight="1" x14ac:dyDescent="0.3">
      <c r="A42" s="18"/>
      <c r="B42" s="21"/>
      <c r="C42" s="272" t="s">
        <v>240</v>
      </c>
      <c r="D42" s="273"/>
      <c r="E42" s="273"/>
      <c r="F42" s="273"/>
      <c r="G42" s="273"/>
      <c r="H42" s="273"/>
      <c r="I42" s="273"/>
      <c r="J42" s="274"/>
      <c r="K42" s="282" t="s">
        <v>92</v>
      </c>
      <c r="L42" s="283"/>
      <c r="M42" s="283"/>
      <c r="N42" s="283"/>
      <c r="O42" s="283"/>
      <c r="P42" s="284"/>
      <c r="Q42" s="298">
        <f>ROUNDUP(((AC9+AC38)/예산서사전준비!B13/12),-6)*예산서사전준비!J13</f>
        <v>0</v>
      </c>
      <c r="R42" s="298"/>
      <c r="S42" s="298"/>
      <c r="T42" s="298"/>
      <c r="U42" s="283" t="s">
        <v>379</v>
      </c>
      <c r="V42" s="283"/>
      <c r="W42" s="17">
        <f>예산서사전준비!$D$3</f>
        <v>6</v>
      </c>
      <c r="X42" s="283" t="s">
        <v>418</v>
      </c>
      <c r="Y42" s="283"/>
      <c r="Z42" s="37"/>
      <c r="AA42" s="283"/>
      <c r="AB42" s="284"/>
      <c r="AC42" s="304">
        <f>ROUNDUP(Q42*W42,-1)</f>
        <v>0</v>
      </c>
      <c r="AD42" s="297"/>
      <c r="AE42" s="297"/>
      <c r="AF42" s="297"/>
      <c r="AG42" s="297"/>
      <c r="AH42" s="305"/>
      <c r="AI42" s="299" t="str">
        <f>CONCATENATE(K42,Q42,U42,W42,X42,Z42,AA42,AC42)</f>
        <v>가산금수입  0원×6월 =0</v>
      </c>
      <c r="AJ42" s="299"/>
      <c r="AK42" s="299"/>
      <c r="AL42" s="299"/>
      <c r="AM42" s="299"/>
      <c r="AN42" s="299"/>
      <c r="AO42" s="299"/>
      <c r="AP42" s="299"/>
      <c r="AQ42" s="299"/>
      <c r="AR42" s="299"/>
      <c r="AS42" s="299"/>
      <c r="AT42" s="299"/>
    </row>
    <row r="43" spans="1:46" s="10" customFormat="1" ht="17.100000000000001" hidden="1" customHeight="1" x14ac:dyDescent="0.3">
      <c r="A43" s="277" t="s">
        <v>96</v>
      </c>
      <c r="B43" s="278"/>
      <c r="C43" s="278"/>
      <c r="D43" s="278"/>
      <c r="E43" s="278"/>
      <c r="F43" s="278"/>
      <c r="G43" s="278"/>
      <c r="H43" s="278"/>
      <c r="I43" s="278"/>
      <c r="J43" s="278"/>
      <c r="K43" s="295"/>
      <c r="L43" s="295"/>
      <c r="M43" s="295"/>
      <c r="N43" s="295"/>
      <c r="O43" s="295"/>
      <c r="P43" s="295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302">
        <f>AC44</f>
        <v>0</v>
      </c>
      <c r="AD43" s="302"/>
      <c r="AE43" s="302"/>
      <c r="AF43" s="302"/>
      <c r="AG43" s="302"/>
      <c r="AH43" s="303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</row>
    <row r="44" spans="1:46" s="10" customFormat="1" ht="17.100000000000001" hidden="1" customHeight="1" x14ac:dyDescent="0.3">
      <c r="A44" s="11"/>
      <c r="B44" s="279" t="s">
        <v>78</v>
      </c>
      <c r="C44" s="280"/>
      <c r="D44" s="280"/>
      <c r="E44" s="280"/>
      <c r="F44" s="280"/>
      <c r="G44" s="280"/>
      <c r="H44" s="280"/>
      <c r="I44" s="280"/>
      <c r="J44" s="281"/>
      <c r="K44" s="279"/>
      <c r="L44" s="280"/>
      <c r="M44" s="280"/>
      <c r="N44" s="280"/>
      <c r="O44" s="280"/>
      <c r="P44" s="281"/>
      <c r="Q44" s="280"/>
      <c r="R44" s="280"/>
      <c r="S44" s="280"/>
      <c r="T44" s="280"/>
      <c r="U44" s="280"/>
      <c r="V44" s="280"/>
      <c r="W44" s="48"/>
      <c r="X44" s="280"/>
      <c r="Y44" s="280"/>
      <c r="Z44" s="48"/>
      <c r="AA44" s="280"/>
      <c r="AB44" s="280"/>
      <c r="AC44" s="289">
        <f>AC45+AC46</f>
        <v>0</v>
      </c>
      <c r="AD44" s="290"/>
      <c r="AE44" s="290"/>
      <c r="AF44" s="290"/>
      <c r="AG44" s="290"/>
      <c r="AH44" s="291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</row>
    <row r="45" spans="1:46" s="10" customFormat="1" ht="17.100000000000001" hidden="1" customHeight="1" x14ac:dyDescent="0.3">
      <c r="A45" s="11"/>
      <c r="B45" s="12"/>
      <c r="C45" s="272" t="s">
        <v>249</v>
      </c>
      <c r="D45" s="273"/>
      <c r="E45" s="273"/>
      <c r="F45" s="273"/>
      <c r="G45" s="273"/>
      <c r="H45" s="273"/>
      <c r="I45" s="273"/>
      <c r="J45" s="274"/>
      <c r="K45" s="272" t="s">
        <v>43</v>
      </c>
      <c r="L45" s="273"/>
      <c r="M45" s="273"/>
      <c r="N45" s="273"/>
      <c r="O45" s="273"/>
      <c r="P45" s="274"/>
      <c r="Q45" s="276"/>
      <c r="R45" s="276"/>
      <c r="S45" s="276"/>
      <c r="T45" s="276"/>
      <c r="U45" s="273"/>
      <c r="V45" s="273"/>
      <c r="W45" s="22"/>
      <c r="X45" s="273"/>
      <c r="Y45" s="273"/>
      <c r="Z45" s="22"/>
      <c r="AA45" s="273"/>
      <c r="AB45" s="273"/>
      <c r="AC45" s="275">
        <v>0</v>
      </c>
      <c r="AD45" s="276"/>
      <c r="AE45" s="276"/>
      <c r="AF45" s="276"/>
      <c r="AG45" s="276"/>
      <c r="AH45" s="301"/>
      <c r="AI45" s="299" t="str">
        <f>CONCATENATE(K45,Q45,U45,W45,X45,Z45,AA45,AC45)</f>
        <v>운영비 부족분 차입  0</v>
      </c>
      <c r="AJ45" s="299"/>
      <c r="AK45" s="299"/>
      <c r="AL45" s="299"/>
      <c r="AM45" s="299"/>
      <c r="AN45" s="299"/>
      <c r="AO45" s="299"/>
      <c r="AP45" s="299"/>
      <c r="AQ45" s="299"/>
      <c r="AR45" s="299"/>
      <c r="AS45" s="299"/>
      <c r="AT45" s="299"/>
    </row>
    <row r="46" spans="1:46" s="10" customFormat="1" ht="17.100000000000001" hidden="1" customHeight="1" x14ac:dyDescent="0.3">
      <c r="A46" s="18"/>
      <c r="B46" s="21"/>
      <c r="C46" s="272" t="s">
        <v>244</v>
      </c>
      <c r="D46" s="273"/>
      <c r="E46" s="273"/>
      <c r="F46" s="273"/>
      <c r="G46" s="273"/>
      <c r="H46" s="273"/>
      <c r="I46" s="273"/>
      <c r="J46" s="274"/>
      <c r="K46" s="272" t="s">
        <v>43</v>
      </c>
      <c r="L46" s="273"/>
      <c r="M46" s="273"/>
      <c r="N46" s="273"/>
      <c r="O46" s="273"/>
      <c r="P46" s="274"/>
      <c r="Q46" s="276"/>
      <c r="R46" s="276"/>
      <c r="S46" s="276"/>
      <c r="T46" s="276"/>
      <c r="U46" s="273"/>
      <c r="V46" s="273"/>
      <c r="W46" s="22"/>
      <c r="X46" s="273"/>
      <c r="Y46" s="273"/>
      <c r="Z46" s="22"/>
      <c r="AA46" s="273"/>
      <c r="AB46" s="273"/>
      <c r="AC46" s="275">
        <v>0</v>
      </c>
      <c r="AD46" s="276"/>
      <c r="AE46" s="276"/>
      <c r="AF46" s="276"/>
      <c r="AG46" s="276"/>
      <c r="AH46" s="301"/>
      <c r="AI46" s="299" t="str">
        <f>CONCATENATE(K46,Q46,U46,W46,X46,Z46,AA46,AC46)</f>
        <v>운영비 부족분 차입  0</v>
      </c>
      <c r="AJ46" s="299"/>
      <c r="AK46" s="299"/>
      <c r="AL46" s="299"/>
      <c r="AM46" s="299"/>
      <c r="AN46" s="299"/>
      <c r="AO46" s="299"/>
      <c r="AP46" s="299"/>
      <c r="AQ46" s="299"/>
      <c r="AR46" s="299"/>
      <c r="AS46" s="299"/>
      <c r="AT46" s="299"/>
    </row>
    <row r="47" spans="1:46" s="10" customFormat="1" ht="17.100000000000001" customHeight="1" x14ac:dyDescent="0.3">
      <c r="A47" s="277" t="s">
        <v>109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95"/>
      <c r="L47" s="295"/>
      <c r="M47" s="295"/>
      <c r="N47" s="295"/>
      <c r="O47" s="295"/>
      <c r="P47" s="295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321">
        <f>AC48</f>
        <v>0</v>
      </c>
      <c r="AD47" s="321"/>
      <c r="AE47" s="321"/>
      <c r="AF47" s="321"/>
      <c r="AG47" s="321"/>
      <c r="AH47" s="322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</row>
    <row r="48" spans="1:46" s="10" customFormat="1" ht="17.100000000000001" customHeight="1" x14ac:dyDescent="0.3">
      <c r="A48" s="11"/>
      <c r="B48" s="279" t="s">
        <v>99</v>
      </c>
      <c r="C48" s="280"/>
      <c r="D48" s="280"/>
      <c r="E48" s="280"/>
      <c r="F48" s="280"/>
      <c r="G48" s="280"/>
      <c r="H48" s="280"/>
      <c r="I48" s="280"/>
      <c r="J48" s="281"/>
      <c r="K48" s="279"/>
      <c r="L48" s="280"/>
      <c r="M48" s="280"/>
      <c r="N48" s="280"/>
      <c r="O48" s="280"/>
      <c r="P48" s="281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323">
        <v>0</v>
      </c>
      <c r="AD48" s="324"/>
      <c r="AE48" s="324"/>
      <c r="AF48" s="324"/>
      <c r="AG48" s="324"/>
      <c r="AH48" s="32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</row>
    <row r="49" spans="1:46" s="10" customFormat="1" ht="17.100000000000001" hidden="1" customHeight="1" x14ac:dyDescent="0.3">
      <c r="A49" s="11"/>
      <c r="B49" s="12"/>
      <c r="C49" s="272" t="s">
        <v>238</v>
      </c>
      <c r="D49" s="273"/>
      <c r="E49" s="273"/>
      <c r="F49" s="273"/>
      <c r="G49" s="273"/>
      <c r="H49" s="273"/>
      <c r="I49" s="273"/>
      <c r="J49" s="274"/>
      <c r="K49" s="272" t="s">
        <v>161</v>
      </c>
      <c r="L49" s="273"/>
      <c r="M49" s="273"/>
      <c r="N49" s="273"/>
      <c r="O49" s="273"/>
      <c r="P49" s="274"/>
      <c r="Q49" s="272" t="s">
        <v>24</v>
      </c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4"/>
      <c r="AC49" s="326">
        <v>0</v>
      </c>
      <c r="AD49" s="327"/>
      <c r="AE49" s="327"/>
      <c r="AF49" s="327"/>
      <c r="AG49" s="327"/>
      <c r="AH49" s="328"/>
      <c r="AI49" s="299" t="str">
        <f>CONCATENATE(Q49,U49,W49,X49,Z49,AA49,AC49)</f>
        <v>법인으로 부터의 전입  0</v>
      </c>
      <c r="AJ49" s="299"/>
      <c r="AK49" s="299"/>
      <c r="AL49" s="299"/>
      <c r="AM49" s="299"/>
      <c r="AN49" s="299"/>
      <c r="AO49" s="299"/>
      <c r="AP49" s="299"/>
      <c r="AQ49" s="299"/>
      <c r="AR49" s="299"/>
      <c r="AS49" s="299"/>
      <c r="AT49" s="299"/>
    </row>
    <row r="50" spans="1:46" s="10" customFormat="1" ht="17.100000000000001" hidden="1" customHeight="1" x14ac:dyDescent="0.3">
      <c r="A50" s="11"/>
      <c r="B50" s="12"/>
      <c r="C50" s="294" t="s">
        <v>55</v>
      </c>
      <c r="D50" s="295"/>
      <c r="E50" s="295"/>
      <c r="F50" s="295"/>
      <c r="G50" s="295"/>
      <c r="H50" s="295"/>
      <c r="I50" s="295"/>
      <c r="J50" s="296"/>
      <c r="K50" s="294" t="s">
        <v>38</v>
      </c>
      <c r="L50" s="295"/>
      <c r="M50" s="295"/>
      <c r="N50" s="295"/>
      <c r="O50" s="295"/>
      <c r="P50" s="296"/>
      <c r="Q50" s="272" t="s">
        <v>464</v>
      </c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4"/>
      <c r="AC50" s="326">
        <v>0</v>
      </c>
      <c r="AD50" s="327"/>
      <c r="AE50" s="327"/>
      <c r="AF50" s="327"/>
      <c r="AG50" s="327"/>
      <c r="AH50" s="328"/>
      <c r="AI50" s="299" t="str">
        <f>CONCATENATE(Q50,U50,W50,X50,Z50,AA50,AC50)</f>
        <v>법인으로 부터의 전입(후원금)  0</v>
      </c>
      <c r="AJ50" s="299"/>
      <c r="AK50" s="299"/>
      <c r="AL50" s="299"/>
      <c r="AM50" s="299"/>
      <c r="AN50" s="299"/>
      <c r="AO50" s="299"/>
      <c r="AP50" s="299"/>
      <c r="AQ50" s="299"/>
      <c r="AR50" s="299"/>
      <c r="AS50" s="299"/>
      <c r="AT50" s="299"/>
    </row>
    <row r="51" spans="1:46" s="10" customFormat="1" ht="17.100000000000001" customHeight="1" x14ac:dyDescent="0.3">
      <c r="A51" s="11"/>
      <c r="B51" s="12"/>
      <c r="C51" s="272" t="s">
        <v>239</v>
      </c>
      <c r="D51" s="273"/>
      <c r="E51" s="273"/>
      <c r="F51" s="273"/>
      <c r="G51" s="273"/>
      <c r="H51" s="273"/>
      <c r="I51" s="273"/>
      <c r="J51" s="274"/>
      <c r="K51" s="272" t="s">
        <v>141</v>
      </c>
      <c r="L51" s="273"/>
      <c r="M51" s="273"/>
      <c r="N51" s="273"/>
      <c r="O51" s="273"/>
      <c r="P51" s="274"/>
      <c r="Q51" s="272" t="s">
        <v>482</v>
      </c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4"/>
      <c r="AC51" s="329">
        <v>0</v>
      </c>
      <c r="AD51" s="330"/>
      <c r="AE51" s="330"/>
      <c r="AF51" s="330"/>
      <c r="AG51" s="330"/>
      <c r="AH51" s="331"/>
      <c r="AI51" s="299" t="str">
        <f>CONCATENATE(Q51,U51,W51,X51,Z51,AA51,AC51)</f>
        <v xml:space="preserve"> 0</v>
      </c>
      <c r="AJ51" s="299"/>
      <c r="AK51" s="299"/>
      <c r="AL51" s="299"/>
      <c r="AM51" s="299"/>
      <c r="AN51" s="299"/>
      <c r="AO51" s="299"/>
      <c r="AP51" s="299"/>
      <c r="AQ51" s="299"/>
      <c r="AR51" s="299"/>
      <c r="AS51" s="299"/>
      <c r="AT51" s="299"/>
    </row>
    <row r="52" spans="1:46" s="10" customFormat="1" ht="17.100000000000001" hidden="1" customHeight="1" x14ac:dyDescent="0.3">
      <c r="A52" s="18"/>
      <c r="B52" s="21"/>
      <c r="C52" s="282" t="s">
        <v>13</v>
      </c>
      <c r="D52" s="283"/>
      <c r="E52" s="283"/>
      <c r="F52" s="283"/>
      <c r="G52" s="283"/>
      <c r="H52" s="283"/>
      <c r="I52" s="283"/>
      <c r="J52" s="284"/>
      <c r="K52" s="282" t="s">
        <v>14</v>
      </c>
      <c r="L52" s="283"/>
      <c r="M52" s="283"/>
      <c r="N52" s="283"/>
      <c r="O52" s="283"/>
      <c r="P52" s="284"/>
      <c r="Q52" s="272" t="s">
        <v>455</v>
      </c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4"/>
      <c r="AC52" s="326">
        <v>0</v>
      </c>
      <c r="AD52" s="327"/>
      <c r="AE52" s="327"/>
      <c r="AF52" s="327"/>
      <c r="AG52" s="327"/>
      <c r="AH52" s="328"/>
      <c r="AI52" s="299" t="str">
        <f>CONCATENATE(Q52,U52,W52,X52,Z52,AA52,AC52)</f>
        <v>대표자로 부터의 전입(후원금)  0</v>
      </c>
      <c r="AJ52" s="299"/>
      <c r="AK52" s="299"/>
      <c r="AL52" s="299"/>
      <c r="AM52" s="299"/>
      <c r="AN52" s="299"/>
      <c r="AO52" s="299"/>
      <c r="AP52" s="299"/>
      <c r="AQ52" s="299"/>
      <c r="AR52" s="299"/>
      <c r="AS52" s="299"/>
      <c r="AT52" s="299"/>
    </row>
    <row r="53" spans="1:46" s="10" customFormat="1" ht="17.100000000000001" hidden="1" customHeight="1" x14ac:dyDescent="0.3">
      <c r="A53" s="277" t="s">
        <v>85</v>
      </c>
      <c r="B53" s="278"/>
      <c r="C53" s="278"/>
      <c r="D53" s="278"/>
      <c r="E53" s="278"/>
      <c r="F53" s="278"/>
      <c r="G53" s="278"/>
      <c r="H53" s="278"/>
      <c r="I53" s="278"/>
      <c r="J53" s="278"/>
      <c r="K53" s="295"/>
      <c r="L53" s="295"/>
      <c r="M53" s="295"/>
      <c r="N53" s="295"/>
      <c r="O53" s="295"/>
      <c r="P53" s="295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321">
        <f>AC54</f>
        <v>0</v>
      </c>
      <c r="AD53" s="321"/>
      <c r="AE53" s="321"/>
      <c r="AF53" s="321"/>
      <c r="AG53" s="321"/>
      <c r="AH53" s="322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</row>
    <row r="54" spans="1:46" s="10" customFormat="1" ht="17.100000000000001" hidden="1" customHeight="1" x14ac:dyDescent="0.3">
      <c r="A54" s="11"/>
      <c r="B54" s="279" t="s">
        <v>69</v>
      </c>
      <c r="C54" s="280"/>
      <c r="D54" s="280"/>
      <c r="E54" s="280"/>
      <c r="F54" s="280"/>
      <c r="G54" s="280"/>
      <c r="H54" s="280"/>
      <c r="I54" s="280"/>
      <c r="J54" s="281"/>
      <c r="K54" s="279"/>
      <c r="L54" s="280"/>
      <c r="M54" s="280"/>
      <c r="N54" s="280"/>
      <c r="O54" s="280"/>
      <c r="P54" s="281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323">
        <f>AC55+AC56+AC57</f>
        <v>0</v>
      </c>
      <c r="AD54" s="324"/>
      <c r="AE54" s="324"/>
      <c r="AF54" s="324"/>
      <c r="AG54" s="324"/>
      <c r="AH54" s="32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</row>
    <row r="55" spans="1:46" s="10" customFormat="1" ht="17.100000000000001" hidden="1" customHeight="1" x14ac:dyDescent="0.3">
      <c r="A55" s="11"/>
      <c r="B55" s="12"/>
      <c r="C55" s="294" t="s">
        <v>241</v>
      </c>
      <c r="D55" s="295"/>
      <c r="E55" s="295"/>
      <c r="F55" s="295"/>
      <c r="G55" s="295"/>
      <c r="H55" s="295"/>
      <c r="I55" s="295"/>
      <c r="J55" s="296"/>
      <c r="K55" s="294" t="s">
        <v>261</v>
      </c>
      <c r="L55" s="295"/>
      <c r="M55" s="295"/>
      <c r="N55" s="295"/>
      <c r="O55" s="295"/>
      <c r="P55" s="296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335">
        <f>예산서사전준비!$B$4</f>
        <v>0</v>
      </c>
      <c r="AD55" s="336"/>
      <c r="AE55" s="336"/>
      <c r="AF55" s="336"/>
      <c r="AG55" s="336"/>
      <c r="AH55" s="337"/>
      <c r="AI55" s="299" t="str">
        <f>CONCATENATE(K55,Q55,U55,W55,X55,Z55,AA55,AC55)</f>
        <v>전년도 이월금  0</v>
      </c>
      <c r="AJ55" s="299"/>
      <c r="AK55" s="299"/>
      <c r="AL55" s="299"/>
      <c r="AM55" s="299"/>
      <c r="AN55" s="299"/>
      <c r="AO55" s="299"/>
      <c r="AP55" s="299"/>
      <c r="AQ55" s="299"/>
      <c r="AR55" s="299"/>
      <c r="AS55" s="299"/>
      <c r="AT55" s="299"/>
    </row>
    <row r="56" spans="1:46" s="10" customFormat="1" ht="17.100000000000001" hidden="1" customHeight="1" x14ac:dyDescent="0.3">
      <c r="A56" s="11"/>
      <c r="B56" s="12"/>
      <c r="C56" s="272" t="s">
        <v>50</v>
      </c>
      <c r="D56" s="273"/>
      <c r="E56" s="273"/>
      <c r="F56" s="273"/>
      <c r="G56" s="273"/>
      <c r="H56" s="273"/>
      <c r="I56" s="273"/>
      <c r="J56" s="274"/>
      <c r="K56" s="272" t="s">
        <v>31</v>
      </c>
      <c r="L56" s="273"/>
      <c r="M56" s="273"/>
      <c r="N56" s="273"/>
      <c r="O56" s="273"/>
      <c r="P56" s="274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26">
        <v>0</v>
      </c>
      <c r="AD56" s="327"/>
      <c r="AE56" s="327"/>
      <c r="AF56" s="327"/>
      <c r="AG56" s="327"/>
      <c r="AH56" s="328"/>
      <c r="AI56" s="299" t="str">
        <f>CONCATENATE(K56,Q56,U56,W56,X56,Z56,AA56,AC56)</f>
        <v>전년도이월금(후원금)  0</v>
      </c>
      <c r="AJ56" s="299"/>
      <c r="AK56" s="299"/>
      <c r="AL56" s="299"/>
      <c r="AM56" s="299"/>
      <c r="AN56" s="299"/>
      <c r="AO56" s="299"/>
      <c r="AP56" s="299"/>
      <c r="AQ56" s="299"/>
      <c r="AR56" s="299"/>
      <c r="AS56" s="299"/>
      <c r="AT56" s="299"/>
    </row>
    <row r="57" spans="1:46" s="10" customFormat="1" ht="17.100000000000001" hidden="1" customHeight="1" x14ac:dyDescent="0.3">
      <c r="A57" s="18"/>
      <c r="B57" s="21"/>
      <c r="C57" s="282" t="s">
        <v>457</v>
      </c>
      <c r="D57" s="283"/>
      <c r="E57" s="283"/>
      <c r="F57" s="283"/>
      <c r="G57" s="283"/>
      <c r="H57" s="283"/>
      <c r="I57" s="283"/>
      <c r="J57" s="284"/>
      <c r="K57" s="282" t="s">
        <v>46</v>
      </c>
      <c r="L57" s="283"/>
      <c r="M57" s="283"/>
      <c r="N57" s="283"/>
      <c r="O57" s="283"/>
      <c r="P57" s="284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338">
        <f>예산서사전준비!$D$4</f>
        <v>0</v>
      </c>
      <c r="AD57" s="339"/>
      <c r="AE57" s="339"/>
      <c r="AF57" s="339"/>
      <c r="AG57" s="339"/>
      <c r="AH57" s="340"/>
      <c r="AI57" s="299" t="str">
        <f>CONCATENATE(K57,Q57,U57,W57,X57,Z57,AA57,AC57)</f>
        <v>전년도이월금(식재료비)  0</v>
      </c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</row>
    <row r="58" spans="1:46" s="10" customFormat="1" ht="16.5" customHeight="1" x14ac:dyDescent="0.3">
      <c r="A58" s="277" t="s">
        <v>110</v>
      </c>
      <c r="B58" s="278"/>
      <c r="C58" s="278"/>
      <c r="D58" s="278"/>
      <c r="E58" s="278"/>
      <c r="F58" s="278"/>
      <c r="G58" s="278"/>
      <c r="H58" s="278"/>
      <c r="I58" s="278"/>
      <c r="J58" s="278"/>
      <c r="K58" s="295"/>
      <c r="L58" s="295"/>
      <c r="M58" s="295"/>
      <c r="N58" s="295"/>
      <c r="O58" s="295"/>
      <c r="P58" s="295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321">
        <f>AC610</f>
        <v>0</v>
      </c>
      <c r="AD58" s="321"/>
      <c r="AE58" s="321"/>
      <c r="AF58" s="321"/>
      <c r="AG58" s="321"/>
      <c r="AH58" s="322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</row>
    <row r="59" spans="1:46" s="10" customFormat="1" ht="17.100000000000001" customHeight="1" x14ac:dyDescent="0.3">
      <c r="A59" s="112"/>
      <c r="B59" s="279" t="s">
        <v>102</v>
      </c>
      <c r="C59" s="280"/>
      <c r="D59" s="280"/>
      <c r="E59" s="280"/>
      <c r="F59" s="280"/>
      <c r="G59" s="280"/>
      <c r="H59" s="280"/>
      <c r="I59" s="280"/>
      <c r="J59" s="281"/>
      <c r="K59" s="279"/>
      <c r="L59" s="280"/>
      <c r="M59" s="280"/>
      <c r="N59" s="280"/>
      <c r="O59" s="280"/>
      <c r="P59" s="281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323">
        <f>AC60+AC61+AC62+AC63</f>
        <v>0</v>
      </c>
      <c r="AD59" s="324"/>
      <c r="AE59" s="324"/>
      <c r="AF59" s="324"/>
      <c r="AG59" s="324"/>
      <c r="AH59" s="32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</row>
    <row r="60" spans="1:46" s="10" customFormat="1" ht="17.100000000000001" hidden="1" customHeight="1" x14ac:dyDescent="0.3">
      <c r="A60" s="112"/>
      <c r="B60" s="34"/>
      <c r="C60" s="294" t="s">
        <v>254</v>
      </c>
      <c r="D60" s="295"/>
      <c r="E60" s="295"/>
      <c r="F60" s="295"/>
      <c r="G60" s="295"/>
      <c r="H60" s="295"/>
      <c r="I60" s="295"/>
      <c r="J60" s="296"/>
      <c r="K60" s="294" t="s">
        <v>269</v>
      </c>
      <c r="L60" s="295"/>
      <c r="M60" s="295"/>
      <c r="N60" s="295"/>
      <c r="O60" s="295"/>
      <c r="P60" s="296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335">
        <v>0</v>
      </c>
      <c r="AD60" s="336"/>
      <c r="AE60" s="336"/>
      <c r="AF60" s="336"/>
      <c r="AG60" s="336"/>
      <c r="AH60" s="337"/>
      <c r="AI60" s="299" t="str">
        <f>CONCATENATE(K60,Q60,U60,W60,X60,Z60,AA60,AC60)</f>
        <v>불용품매각대  0</v>
      </c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</row>
    <row r="61" spans="1:46" s="10" customFormat="1" ht="17.100000000000001" customHeight="1" x14ac:dyDescent="0.3">
      <c r="A61" s="112"/>
      <c r="B61" s="34"/>
      <c r="C61" s="272" t="s">
        <v>19</v>
      </c>
      <c r="D61" s="273"/>
      <c r="E61" s="273"/>
      <c r="F61" s="273"/>
      <c r="G61" s="273"/>
      <c r="H61" s="273"/>
      <c r="I61" s="273"/>
      <c r="J61" s="274"/>
      <c r="K61" s="272" t="s">
        <v>263</v>
      </c>
      <c r="L61" s="273"/>
      <c r="M61" s="273"/>
      <c r="N61" s="273"/>
      <c r="O61" s="273"/>
      <c r="P61" s="274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26">
        <v>0</v>
      </c>
      <c r="AD61" s="327"/>
      <c r="AE61" s="327"/>
      <c r="AF61" s="327"/>
      <c r="AG61" s="327"/>
      <c r="AH61" s="328"/>
      <c r="AI61" s="299" t="str">
        <f>CONCATENATE(K61,Q61,U61,W61,X61,Z61,AA61,AC61)</f>
        <v>기타예금이자  0</v>
      </c>
      <c r="AJ61" s="299"/>
      <c r="AK61" s="299"/>
      <c r="AL61" s="299"/>
      <c r="AM61" s="299"/>
      <c r="AN61" s="299"/>
      <c r="AO61" s="299"/>
      <c r="AP61" s="299"/>
      <c r="AQ61" s="299"/>
      <c r="AR61" s="299"/>
      <c r="AS61" s="299"/>
      <c r="AT61" s="299"/>
    </row>
    <row r="62" spans="1:46" s="10" customFormat="1" ht="17.100000000000001" hidden="1" customHeight="1" x14ac:dyDescent="0.3">
      <c r="A62" s="112"/>
      <c r="B62" s="34"/>
      <c r="C62" s="272" t="s">
        <v>42</v>
      </c>
      <c r="D62" s="273"/>
      <c r="E62" s="273"/>
      <c r="F62" s="273"/>
      <c r="G62" s="273"/>
      <c r="H62" s="273"/>
      <c r="I62" s="273"/>
      <c r="J62" s="274"/>
      <c r="K62" s="272" t="s">
        <v>116</v>
      </c>
      <c r="L62" s="273"/>
      <c r="M62" s="273"/>
      <c r="N62" s="273"/>
      <c r="O62" s="273"/>
      <c r="P62" s="274"/>
      <c r="Q62" s="276"/>
      <c r="R62" s="276"/>
      <c r="S62" s="276"/>
      <c r="T62" s="276"/>
      <c r="U62" s="273" t="s">
        <v>379</v>
      </c>
      <c r="V62" s="273"/>
      <c r="W62" s="37"/>
      <c r="X62" s="283" t="s">
        <v>406</v>
      </c>
      <c r="Y62" s="283"/>
      <c r="Z62" s="37"/>
      <c r="AA62" s="283" t="s">
        <v>418</v>
      </c>
      <c r="AB62" s="283"/>
      <c r="AC62" s="304">
        <f>ROUNDUP(Q62*W62*Z62,-1)</f>
        <v>0</v>
      </c>
      <c r="AD62" s="297"/>
      <c r="AE62" s="297"/>
      <c r="AF62" s="297"/>
      <c r="AG62" s="297"/>
      <c r="AH62" s="305"/>
      <c r="AI62" s="299" t="str">
        <f>CONCATENATE(K62,Q62,U62,W62,X62,Z62,AA62,AC62)</f>
        <v>직원식재료  원×명×월 =0</v>
      </c>
      <c r="AJ62" s="299"/>
      <c r="AK62" s="299"/>
      <c r="AL62" s="299"/>
      <c r="AM62" s="299"/>
      <c r="AN62" s="299"/>
      <c r="AO62" s="299"/>
      <c r="AP62" s="299"/>
      <c r="AQ62" s="299"/>
      <c r="AR62" s="299"/>
      <c r="AS62" s="299"/>
      <c r="AT62" s="299"/>
    </row>
    <row r="63" spans="1:46" s="10" customFormat="1" ht="17.100000000000001" hidden="1" customHeight="1" x14ac:dyDescent="0.3">
      <c r="A63" s="113"/>
      <c r="B63" s="35"/>
      <c r="C63" s="282" t="s">
        <v>256</v>
      </c>
      <c r="D63" s="283"/>
      <c r="E63" s="283"/>
      <c r="F63" s="283"/>
      <c r="G63" s="283"/>
      <c r="H63" s="283"/>
      <c r="I63" s="283"/>
      <c r="J63" s="284"/>
      <c r="K63" s="282" t="s">
        <v>133</v>
      </c>
      <c r="L63" s="283"/>
      <c r="M63" s="283"/>
      <c r="N63" s="283"/>
      <c r="O63" s="283"/>
      <c r="P63" s="284"/>
      <c r="Q63" s="282" t="s">
        <v>259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4"/>
      <c r="AC63" s="304"/>
      <c r="AD63" s="297"/>
      <c r="AE63" s="297"/>
      <c r="AF63" s="297"/>
      <c r="AG63" s="297"/>
      <c r="AH63" s="305"/>
      <c r="AI63" s="299" t="str">
        <f>CONCATENATE(Q63,U63,W63,X63,Z63,AA63,AC63)</f>
        <v xml:space="preserve">고용지원금 외  </v>
      </c>
      <c r="AJ63" s="299"/>
      <c r="AK63" s="299"/>
      <c r="AL63" s="299"/>
      <c r="AM63" s="299"/>
      <c r="AN63" s="299"/>
      <c r="AO63" s="299"/>
      <c r="AP63" s="299"/>
      <c r="AQ63" s="299"/>
      <c r="AR63" s="299"/>
      <c r="AS63" s="299"/>
      <c r="AT63" s="299"/>
    </row>
    <row r="64" spans="1:46" s="10" customFormat="1" ht="17.100000000000001" customHeigh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0" customFormat="1" ht="17.100000000000001" customHeight="1" x14ac:dyDescent="0.3">
      <c r="A65" s="266" t="s">
        <v>233</v>
      </c>
      <c r="B65" s="266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</row>
    <row r="66" spans="1:34" s="10" customFormat="1" ht="17.100000000000001" customHeight="1" x14ac:dyDescent="0.3">
      <c r="A66" s="266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</row>
    <row r="67" spans="1:34" s="10" customFormat="1" ht="17.100000000000001" customHeight="1" x14ac:dyDescent="0.3">
      <c r="A67" s="163"/>
      <c r="B67" s="263" t="s">
        <v>364</v>
      </c>
      <c r="C67" s="263"/>
      <c r="D67" s="263"/>
      <c r="E67" s="263"/>
      <c r="F67" s="263"/>
      <c r="G67" s="263"/>
      <c r="H67" s="264">
        <f>'수가정보 및 인건비비율'!$E$21</f>
        <v>54320</v>
      </c>
      <c r="I67" s="264"/>
      <c r="J67" s="264"/>
      <c r="K67" s="264"/>
      <c r="L67" s="263" t="s">
        <v>379</v>
      </c>
      <c r="M67" s="263"/>
      <c r="N67" s="17">
        <f>예산서사전준비!$B$13</f>
        <v>15</v>
      </c>
      <c r="O67" s="263" t="s">
        <v>406</v>
      </c>
      <c r="P67" s="263"/>
      <c r="Q67" s="17">
        <v>26</v>
      </c>
      <c r="R67" s="15" t="s">
        <v>443</v>
      </c>
      <c r="S67" s="15" t="s">
        <v>446</v>
      </c>
      <c r="T67" s="166">
        <v>3</v>
      </c>
      <c r="U67" s="167" t="s">
        <v>447</v>
      </c>
      <c r="V67" s="166" t="s">
        <v>390</v>
      </c>
      <c r="W67" s="265">
        <f>63554000</f>
        <v>63554000</v>
      </c>
      <c r="X67" s="265"/>
      <c r="Y67" s="265"/>
      <c r="Z67" s="265"/>
      <c r="AA67" s="265"/>
      <c r="AB67" s="265"/>
      <c r="AC67" s="265"/>
      <c r="AD67" s="265"/>
      <c r="AE67" s="265"/>
      <c r="AF67" s="265"/>
      <c r="AG67" s="265"/>
      <c r="AH67" s="265"/>
    </row>
    <row r="68" spans="1:34" s="10" customFormat="1" ht="17.100000000000001" customHeight="1" x14ac:dyDescent="0.3">
      <c r="A68" s="163"/>
      <c r="B68" s="263" t="s">
        <v>191</v>
      </c>
      <c r="C68" s="263"/>
      <c r="D68" s="263"/>
      <c r="E68" s="263"/>
      <c r="F68" s="263"/>
      <c r="G68" s="263"/>
      <c r="H68" s="264">
        <f>'수가정보 및 인건비비율'!$F$21</f>
        <v>8148</v>
      </c>
      <c r="I68" s="264"/>
      <c r="J68" s="264"/>
      <c r="K68" s="264"/>
      <c r="L68" s="263" t="s">
        <v>379</v>
      </c>
      <c r="M68" s="263"/>
      <c r="N68" s="17">
        <f>예산서사전준비!$B$13</f>
        <v>15</v>
      </c>
      <c r="O68" s="263" t="s">
        <v>406</v>
      </c>
      <c r="P68" s="263"/>
      <c r="Q68" s="17">
        <v>26</v>
      </c>
      <c r="R68" s="15" t="s">
        <v>443</v>
      </c>
      <c r="S68" s="15" t="s">
        <v>446</v>
      </c>
      <c r="T68" s="166">
        <v>3</v>
      </c>
      <c r="U68" s="167" t="s">
        <v>447</v>
      </c>
      <c r="V68" s="166" t="s">
        <v>390</v>
      </c>
      <c r="W68" s="265">
        <v>9533160</v>
      </c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</row>
    <row r="69" spans="1:34" s="10" customFormat="1" ht="17.100000000000001" customHeight="1" x14ac:dyDescent="0.3">
      <c r="A69" s="163"/>
      <c r="B69" s="263" t="s">
        <v>377</v>
      </c>
      <c r="C69" s="263"/>
      <c r="D69" s="263"/>
      <c r="E69" s="263"/>
      <c r="F69" s="263"/>
      <c r="G69" s="263"/>
      <c r="H69" s="264">
        <f>'수가정보 및 인건비비율'!$G$21</f>
        <v>46172</v>
      </c>
      <c r="I69" s="264"/>
      <c r="J69" s="264"/>
      <c r="K69" s="264"/>
      <c r="L69" s="263" t="s">
        <v>379</v>
      </c>
      <c r="M69" s="263"/>
      <c r="N69" s="17">
        <f>예산서사전준비!$B$13</f>
        <v>15</v>
      </c>
      <c r="O69" s="263" t="s">
        <v>406</v>
      </c>
      <c r="P69" s="263"/>
      <c r="Q69" s="17">
        <v>26</v>
      </c>
      <c r="R69" s="15" t="s">
        <v>443</v>
      </c>
      <c r="S69" s="15" t="s">
        <v>446</v>
      </c>
      <c r="T69" s="166">
        <v>3</v>
      </c>
      <c r="U69" s="167" t="s">
        <v>447</v>
      </c>
      <c r="V69" s="166" t="s">
        <v>390</v>
      </c>
      <c r="W69" s="265">
        <v>54021240</v>
      </c>
      <c r="X69" s="265"/>
      <c r="Y69" s="265"/>
      <c r="Z69" s="265"/>
      <c r="AA69" s="265"/>
      <c r="AB69" s="265"/>
      <c r="AC69" s="265"/>
      <c r="AD69" s="265"/>
      <c r="AE69" s="265"/>
      <c r="AF69" s="265"/>
      <c r="AG69" s="265"/>
      <c r="AH69" s="265"/>
    </row>
    <row r="70" spans="1:34" s="10" customFormat="1" ht="17.100000000000001" customHeight="1" x14ac:dyDescent="0.3">
      <c r="A70" s="266" t="s">
        <v>228</v>
      </c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</row>
    <row r="71" spans="1:34" s="10" customFormat="1" ht="17.100000000000001" customHeight="1" x14ac:dyDescent="0.3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</row>
    <row r="72" spans="1:34" s="10" customFormat="1" ht="17.100000000000001" customHeight="1" x14ac:dyDescent="0.3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</row>
    <row r="73" spans="1:34" s="10" customFormat="1" ht="17.100000000000001" customHeight="1" x14ac:dyDescent="0.3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</row>
    <row r="74" spans="1:34" s="10" customFormat="1" ht="17.100000000000001" customHeigh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0" customFormat="1" ht="17.100000000000001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:34" s="10" customFormat="1" ht="17.100000000000001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0" customFormat="1" ht="17.100000000000001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:34" s="10" customFormat="1" ht="17.100000000000001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0" customFormat="1" ht="17.100000000000001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1:34" s="10" customFormat="1" ht="17.100000000000001" customHeigh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0" customFormat="1" ht="17.100000000000001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spans="1:34" s="10" customFormat="1" ht="17.100000000000001" customHeigh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0" customFormat="1" ht="17.100000000000001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spans="1:34" s="10" customFormat="1" ht="17.100000000000001" customHeigh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0" customFormat="1" ht="17.100000000000001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spans="1:34" s="10" customFormat="1" ht="17.100000000000001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0" customFormat="1" ht="17.100000000000001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1:34" s="10" customFormat="1" ht="17.100000000000001" customHeigh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0" customFormat="1" ht="17.100000000000001" customHeigh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spans="1:34" s="10" customFormat="1" ht="17.100000000000001" customHeigh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0" customFormat="1" ht="17.100000000000001" customHeigh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spans="1:34" s="10" customFormat="1" ht="17.100000000000001" customHeigh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0" customFormat="1" ht="17.100000000000001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spans="1:34" s="10" customFormat="1" ht="17.100000000000001" customHeigh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0" customFormat="1" ht="17.100000000000001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 spans="1:34" s="10" customFormat="1" ht="17.100000000000001" customHeigh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0" customFormat="1" ht="17.100000000000001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spans="1:34" s="10" customFormat="1" ht="17.100000000000001" customHeigh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0" customFormat="1" ht="17.100000000000001" customHeigh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spans="1:34" s="10" customFormat="1" ht="17.100000000000001" customHeigh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0" customFormat="1" ht="17.100000000000001" customHeigh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spans="1:34" s="10" customFormat="1" ht="17.100000000000001" customHeigh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0" customFormat="1" ht="17.100000000000001" customHeigh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 spans="1:34" s="10" customFormat="1" ht="17.100000000000001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0" customFormat="1" ht="17.100000000000001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 spans="1:34" s="10" customFormat="1" ht="17.100000000000001" customHeigh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0" customFormat="1" ht="17.100000000000001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spans="1:34" s="10" customFormat="1" ht="17.100000000000001" customHeigh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0" customFormat="1" ht="17.100000000000001" customHeigh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 spans="1:34" s="10" customFormat="1" ht="17.100000000000001" customHeigh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0" customFormat="1" ht="17.100000000000001" customHeigh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 spans="1:34" s="10" customFormat="1" ht="17.100000000000001" customHeigh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s="10" customFormat="1" ht="17.100000000000001" customHeigh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 spans="1:34" s="10" customFormat="1" ht="17.100000000000001" customHeigh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s="10" customFormat="1" ht="17.100000000000001" customHeigh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 spans="1:34" s="10" customFormat="1" ht="17.100000000000001" customHeigh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s="10" customFormat="1" ht="17.100000000000001" customHeigh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 spans="1:34" s="10" customFormat="1" ht="17.100000000000001" customHeigh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s="10" customFormat="1" ht="17.100000000000001" customHeigh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spans="1:34" s="10" customFormat="1" ht="17.100000000000001" customHeigh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s="10" customFormat="1" ht="17.100000000000001" customHeigh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1:34" s="10" customFormat="1" ht="17.100000000000001" customHeigh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s="10" customFormat="1" ht="17.100000000000001" customHeight="1" x14ac:dyDescent="0.3"/>
    <row r="124" spans="1:34" s="10" customFormat="1" ht="17.100000000000001" customHeight="1" x14ac:dyDescent="0.3"/>
    <row r="125" spans="1:34" s="10" customFormat="1" ht="17.100000000000001" customHeight="1" x14ac:dyDescent="0.3"/>
    <row r="126" spans="1:34" s="10" customFormat="1" ht="17.100000000000001" customHeight="1" x14ac:dyDescent="0.3"/>
    <row r="127" spans="1:34" s="10" customFormat="1" ht="17.100000000000001" customHeight="1" x14ac:dyDescent="0.3"/>
    <row r="128" spans="1:34" s="10" customFormat="1" ht="17.100000000000001" customHeight="1" x14ac:dyDescent="0.3"/>
    <row r="129" s="10" customFormat="1" ht="17.100000000000001" customHeight="1" x14ac:dyDescent="0.3"/>
    <row r="130" s="10" customFormat="1" ht="17.100000000000001" customHeight="1" x14ac:dyDescent="0.3"/>
    <row r="131" s="10" customFormat="1" ht="17.100000000000001" customHeight="1" x14ac:dyDescent="0.3"/>
    <row r="132" s="10" customFormat="1" ht="17.100000000000001" customHeight="1" x14ac:dyDescent="0.3"/>
    <row r="133" s="10" customFormat="1" ht="17.100000000000001" customHeight="1" x14ac:dyDescent="0.3"/>
    <row r="134" s="10" customFormat="1" ht="17.100000000000001" customHeight="1" x14ac:dyDescent="0.3"/>
    <row r="135" s="10" customFormat="1" ht="17.100000000000001" customHeight="1" x14ac:dyDescent="0.3"/>
    <row r="136" s="10" customFormat="1" ht="17.100000000000001" customHeight="1" x14ac:dyDescent="0.3"/>
    <row r="137" s="10" customFormat="1" ht="17.100000000000001" customHeight="1" x14ac:dyDescent="0.3"/>
    <row r="138" s="10" customFormat="1" ht="17.100000000000001" customHeight="1" x14ac:dyDescent="0.3"/>
    <row r="139" s="10" customFormat="1" ht="17.100000000000001" customHeight="1" x14ac:dyDescent="0.3"/>
    <row r="140" s="10" customFormat="1" ht="17.100000000000001" customHeight="1" x14ac:dyDescent="0.3"/>
    <row r="141" s="10" customFormat="1" ht="17.100000000000001" customHeight="1" x14ac:dyDescent="0.3"/>
    <row r="142" s="10" customFormat="1" ht="17.100000000000001" customHeight="1" x14ac:dyDescent="0.3"/>
    <row r="143" s="10" customFormat="1" ht="17.100000000000001" customHeight="1" x14ac:dyDescent="0.3"/>
    <row r="144" s="10" customFormat="1" ht="17.100000000000001" customHeight="1" x14ac:dyDescent="0.3"/>
    <row r="145" s="10" customFormat="1" ht="17.100000000000001" customHeight="1" x14ac:dyDescent="0.3"/>
  </sheetData>
  <mergeCells count="359">
    <mergeCell ref="A70:AH73"/>
    <mergeCell ref="AK2:AN2"/>
    <mergeCell ref="AK3:AN3"/>
    <mergeCell ref="AI4:AI5"/>
    <mergeCell ref="AJ4:AK4"/>
    <mergeCell ref="AL4:AM4"/>
    <mergeCell ref="AN4:AO4"/>
    <mergeCell ref="AP4:AQ4"/>
    <mergeCell ref="AR4:AS4"/>
    <mergeCell ref="AI63:AT63"/>
    <mergeCell ref="Q62:T62"/>
    <mergeCell ref="U62:V62"/>
    <mergeCell ref="X62:Y62"/>
    <mergeCell ref="AA62:AB62"/>
    <mergeCell ref="AI55:AT55"/>
    <mergeCell ref="AI56:AT56"/>
    <mergeCell ref="AI57:AT57"/>
    <mergeCell ref="AI60:AT60"/>
    <mergeCell ref="AI61:AT61"/>
    <mergeCell ref="AI62:AT62"/>
    <mergeCell ref="AC58:AH58"/>
    <mergeCell ref="AC59:AH59"/>
    <mergeCell ref="AC60:AH60"/>
    <mergeCell ref="AC61:AH61"/>
    <mergeCell ref="AT4:AU4"/>
    <mergeCell ref="AJ5:AK5"/>
    <mergeCell ref="AL5:AM5"/>
    <mergeCell ref="AN5:AO5"/>
    <mergeCell ref="AP5:AQ5"/>
    <mergeCell ref="AR5:AS5"/>
    <mergeCell ref="AT5:AU5"/>
    <mergeCell ref="AI1:AU1"/>
    <mergeCell ref="AO2:AU2"/>
    <mergeCell ref="AO3:AU3"/>
    <mergeCell ref="AC62:AH62"/>
    <mergeCell ref="AC63:AH63"/>
    <mergeCell ref="Q63:AB63"/>
    <mergeCell ref="AI45:AT45"/>
    <mergeCell ref="AI46:AT46"/>
    <mergeCell ref="Q49:AB49"/>
    <mergeCell ref="AI49:AT49"/>
    <mergeCell ref="AI50:AT50"/>
    <mergeCell ref="AI51:AT51"/>
    <mergeCell ref="AI52:AT52"/>
    <mergeCell ref="Q45:T45"/>
    <mergeCell ref="U45:V45"/>
    <mergeCell ref="X45:Y45"/>
    <mergeCell ref="AA45:AB45"/>
    <mergeCell ref="Q46:T46"/>
    <mergeCell ref="U46:V46"/>
    <mergeCell ref="X46:Y46"/>
    <mergeCell ref="AA46:AB46"/>
    <mergeCell ref="AC52:AH52"/>
    <mergeCell ref="AC53:AH53"/>
    <mergeCell ref="AC54:AH54"/>
    <mergeCell ref="AC55:AH55"/>
    <mergeCell ref="AC56:AH56"/>
    <mergeCell ref="AC57:AH57"/>
    <mergeCell ref="AI42:AT42"/>
    <mergeCell ref="AI39:AT39"/>
    <mergeCell ref="AI40:AT40"/>
    <mergeCell ref="AI41:AT41"/>
    <mergeCell ref="Q44:T44"/>
    <mergeCell ref="U44:V44"/>
    <mergeCell ref="X44:Y44"/>
    <mergeCell ref="AA44:AB44"/>
    <mergeCell ref="U41:V41"/>
    <mergeCell ref="X41:Y41"/>
    <mergeCell ref="AA41:AB41"/>
    <mergeCell ref="AC41:AH41"/>
    <mergeCell ref="Q42:T42"/>
    <mergeCell ref="U42:V42"/>
    <mergeCell ref="X42:Y42"/>
    <mergeCell ref="AA42:AB42"/>
    <mergeCell ref="AA39:AB39"/>
    <mergeCell ref="AC39:AH39"/>
    <mergeCell ref="Q40:T40"/>
    <mergeCell ref="U40:V40"/>
    <mergeCell ref="X40:Y40"/>
    <mergeCell ref="AA40:AB40"/>
    <mergeCell ref="AC40:AH40"/>
    <mergeCell ref="AC42:AH42"/>
    <mergeCell ref="AI34:AT34"/>
    <mergeCell ref="AI35:AT35"/>
    <mergeCell ref="K39:P39"/>
    <mergeCell ref="Q38:T38"/>
    <mergeCell ref="Q39:T39"/>
    <mergeCell ref="U39:V39"/>
    <mergeCell ref="X39:Y39"/>
    <mergeCell ref="AC37:AH37"/>
    <mergeCell ref="AC38:AH38"/>
    <mergeCell ref="U33:V33"/>
    <mergeCell ref="X33:Y33"/>
    <mergeCell ref="AA33:AB33"/>
    <mergeCell ref="Q34:T34"/>
    <mergeCell ref="U34:V34"/>
    <mergeCell ref="X34:Y34"/>
    <mergeCell ref="AA34:AB34"/>
    <mergeCell ref="K59:P59"/>
    <mergeCell ref="K60:P60"/>
    <mergeCell ref="K45:P45"/>
    <mergeCell ref="K46:P46"/>
    <mergeCell ref="K33:P33"/>
    <mergeCell ref="K34:P34"/>
    <mergeCell ref="K35:P35"/>
    <mergeCell ref="K36:P36"/>
    <mergeCell ref="U35:V35"/>
    <mergeCell ref="X35:Y35"/>
    <mergeCell ref="AA35:AB35"/>
    <mergeCell ref="Q50:AB50"/>
    <mergeCell ref="Q51:AB51"/>
    <mergeCell ref="Q52:AB52"/>
    <mergeCell ref="K61:P61"/>
    <mergeCell ref="K62:P62"/>
    <mergeCell ref="K63:P63"/>
    <mergeCell ref="Q33:T33"/>
    <mergeCell ref="Q35:T35"/>
    <mergeCell ref="K40:P40"/>
    <mergeCell ref="K41:P41"/>
    <mergeCell ref="Q41:T41"/>
    <mergeCell ref="K53:P53"/>
    <mergeCell ref="K54:P54"/>
    <mergeCell ref="K55:P55"/>
    <mergeCell ref="K56:P56"/>
    <mergeCell ref="K57:P57"/>
    <mergeCell ref="K58:P58"/>
    <mergeCell ref="K47:P47"/>
    <mergeCell ref="K48:P48"/>
    <mergeCell ref="K49:P49"/>
    <mergeCell ref="K50:P50"/>
    <mergeCell ref="K51:P51"/>
    <mergeCell ref="K52:P52"/>
    <mergeCell ref="K38:P38"/>
    <mergeCell ref="K42:P42"/>
    <mergeCell ref="K43:P43"/>
    <mergeCell ref="K44:P44"/>
    <mergeCell ref="AC46:AH46"/>
    <mergeCell ref="AC47:AH47"/>
    <mergeCell ref="AC48:AH48"/>
    <mergeCell ref="AC49:AH49"/>
    <mergeCell ref="AC50:AH50"/>
    <mergeCell ref="AC51:AH51"/>
    <mergeCell ref="AC43:AH43"/>
    <mergeCell ref="AC44:AH44"/>
    <mergeCell ref="AC45:AH45"/>
    <mergeCell ref="AC24:AH24"/>
    <mergeCell ref="AC32:AH32"/>
    <mergeCell ref="AC33:AH33"/>
    <mergeCell ref="AC34:AH34"/>
    <mergeCell ref="AC35:AH35"/>
    <mergeCell ref="AC36:AH36"/>
    <mergeCell ref="K4:AH4"/>
    <mergeCell ref="K5:P5"/>
    <mergeCell ref="Q5:AB5"/>
    <mergeCell ref="AC5:AH5"/>
    <mergeCell ref="K6:AH6"/>
    <mergeCell ref="AC23:AH23"/>
    <mergeCell ref="K31:P31"/>
    <mergeCell ref="Q31:T31"/>
    <mergeCell ref="U31:V31"/>
    <mergeCell ref="X31:Y31"/>
    <mergeCell ref="AA31:AB31"/>
    <mergeCell ref="AC31:AH31"/>
    <mergeCell ref="AC22:AH22"/>
    <mergeCell ref="X13:Y13"/>
    <mergeCell ref="U14:V14"/>
    <mergeCell ref="X14:Y14"/>
    <mergeCell ref="AA22:AB22"/>
    <mergeCell ref="U11:V11"/>
    <mergeCell ref="AI28:AT28"/>
    <mergeCell ref="AI29:AT29"/>
    <mergeCell ref="AI30:AT30"/>
    <mergeCell ref="AC27:AH27"/>
    <mergeCell ref="AA30:AB30"/>
    <mergeCell ref="AC30:AH30"/>
    <mergeCell ref="K29:P29"/>
    <mergeCell ref="Q29:T29"/>
    <mergeCell ref="U29:V29"/>
    <mergeCell ref="X29:Y29"/>
    <mergeCell ref="AA29:AB29"/>
    <mergeCell ref="AC29:AH29"/>
    <mergeCell ref="K28:P28"/>
    <mergeCell ref="Q28:T28"/>
    <mergeCell ref="U28:V28"/>
    <mergeCell ref="X28:Y28"/>
    <mergeCell ref="AA28:AB28"/>
    <mergeCell ref="AC28:AH28"/>
    <mergeCell ref="K30:P30"/>
    <mergeCell ref="Q30:T30"/>
    <mergeCell ref="U30:V30"/>
    <mergeCell ref="X30:Y30"/>
    <mergeCell ref="AI25:AT25"/>
    <mergeCell ref="K26:P26"/>
    <mergeCell ref="Q26:T26"/>
    <mergeCell ref="U26:V26"/>
    <mergeCell ref="X26:Y26"/>
    <mergeCell ref="AA26:AB26"/>
    <mergeCell ref="AC26:AH26"/>
    <mergeCell ref="AI26:AT26"/>
    <mergeCell ref="K25:P25"/>
    <mergeCell ref="Q25:T25"/>
    <mergeCell ref="U25:V25"/>
    <mergeCell ref="X25:Y25"/>
    <mergeCell ref="AA25:AB25"/>
    <mergeCell ref="AC25:AH25"/>
    <mergeCell ref="AI19:AT19"/>
    <mergeCell ref="AI22:AT22"/>
    <mergeCell ref="C19:J19"/>
    <mergeCell ref="AC17:AH17"/>
    <mergeCell ref="AC20:AH20"/>
    <mergeCell ref="K21:P21"/>
    <mergeCell ref="Q21:T21"/>
    <mergeCell ref="U21:V21"/>
    <mergeCell ref="X21:Y21"/>
    <mergeCell ref="AA21:AB21"/>
    <mergeCell ref="AC21:AH21"/>
    <mergeCell ref="K19:P19"/>
    <mergeCell ref="Q19:T19"/>
    <mergeCell ref="U19:V19"/>
    <mergeCell ref="X19:Y19"/>
    <mergeCell ref="AA19:AB19"/>
    <mergeCell ref="AC19:AH19"/>
    <mergeCell ref="K18:P18"/>
    <mergeCell ref="Q18:T18"/>
    <mergeCell ref="U18:V18"/>
    <mergeCell ref="AA18:AB18"/>
    <mergeCell ref="AC18:AH18"/>
    <mergeCell ref="U22:V22"/>
    <mergeCell ref="X22:Y22"/>
    <mergeCell ref="AI14:AT14"/>
    <mergeCell ref="AI15:AT15"/>
    <mergeCell ref="AI16:AT16"/>
    <mergeCell ref="AI6:AS6"/>
    <mergeCell ref="AI10:AT10"/>
    <mergeCell ref="AI11:AT11"/>
    <mergeCell ref="AI12:AT12"/>
    <mergeCell ref="AI13:AT13"/>
    <mergeCell ref="AA10:AB10"/>
    <mergeCell ref="AA11:AB11"/>
    <mergeCell ref="AA12:AB12"/>
    <mergeCell ref="AA15:AB15"/>
    <mergeCell ref="AC15:AH15"/>
    <mergeCell ref="AC7:AH7"/>
    <mergeCell ref="AC10:AH10"/>
    <mergeCell ref="AC11:AH11"/>
    <mergeCell ref="AC12:AH12"/>
    <mergeCell ref="AC9:AH9"/>
    <mergeCell ref="AA16:AB16"/>
    <mergeCell ref="AC16:AH16"/>
    <mergeCell ref="AA13:AB13"/>
    <mergeCell ref="AC13:AH13"/>
    <mergeCell ref="AA14:AB14"/>
    <mergeCell ref="AC14:AH14"/>
    <mergeCell ref="B37:J37"/>
    <mergeCell ref="A32:J32"/>
    <mergeCell ref="B33:J33"/>
    <mergeCell ref="C34:J34"/>
    <mergeCell ref="C35:J35"/>
    <mergeCell ref="A36:J36"/>
    <mergeCell ref="C22:J22"/>
    <mergeCell ref="A23:J23"/>
    <mergeCell ref="B24:J24"/>
    <mergeCell ref="C25:J25"/>
    <mergeCell ref="C26:J26"/>
    <mergeCell ref="C27:J27"/>
    <mergeCell ref="C38:J38"/>
    <mergeCell ref="C42:J42"/>
    <mergeCell ref="A43:J43"/>
    <mergeCell ref="B44:J44"/>
    <mergeCell ref="C45:J45"/>
    <mergeCell ref="U12:V12"/>
    <mergeCell ref="X10:Y10"/>
    <mergeCell ref="X11:Y11"/>
    <mergeCell ref="K12:P12"/>
    <mergeCell ref="K13:P13"/>
    <mergeCell ref="K14:P14"/>
    <mergeCell ref="K15:P15"/>
    <mergeCell ref="K16:P16"/>
    <mergeCell ref="Q10:T10"/>
    <mergeCell ref="Q11:T11"/>
    <mergeCell ref="Q12:T12"/>
    <mergeCell ref="Q13:T13"/>
    <mergeCell ref="U15:V15"/>
    <mergeCell ref="X15:Y15"/>
    <mergeCell ref="U16:V16"/>
    <mergeCell ref="X16:Y16"/>
    <mergeCell ref="X18:Y18"/>
    <mergeCell ref="X12:Y12"/>
    <mergeCell ref="C31:J31"/>
    <mergeCell ref="C62:J62"/>
    <mergeCell ref="C63:J63"/>
    <mergeCell ref="C52:J52"/>
    <mergeCell ref="A53:J53"/>
    <mergeCell ref="B54:J54"/>
    <mergeCell ref="C55:J55"/>
    <mergeCell ref="C56:J56"/>
    <mergeCell ref="C57:J57"/>
    <mergeCell ref="C46:J46"/>
    <mergeCell ref="A47:J47"/>
    <mergeCell ref="B48:J48"/>
    <mergeCell ref="C49:J49"/>
    <mergeCell ref="C50:J50"/>
    <mergeCell ref="C51:J51"/>
    <mergeCell ref="A58:J58"/>
    <mergeCell ref="B59:J59"/>
    <mergeCell ref="C60:J60"/>
    <mergeCell ref="C61:J61"/>
    <mergeCell ref="AB3:AH3"/>
    <mergeCell ref="E5:J5"/>
    <mergeCell ref="A7:J7"/>
    <mergeCell ref="B8:J8"/>
    <mergeCell ref="C9:J9"/>
    <mergeCell ref="C13:J13"/>
    <mergeCell ref="C14:J14"/>
    <mergeCell ref="A6:J6"/>
    <mergeCell ref="A5:B5"/>
    <mergeCell ref="C5:D5"/>
    <mergeCell ref="U10:V10"/>
    <mergeCell ref="U13:V13"/>
    <mergeCell ref="AV2:BM2"/>
    <mergeCell ref="AV3:BM3"/>
    <mergeCell ref="E2:AD2"/>
    <mergeCell ref="E1:L1"/>
    <mergeCell ref="M1:O1"/>
    <mergeCell ref="A4:J4"/>
    <mergeCell ref="K22:P22"/>
    <mergeCell ref="Q22:T22"/>
    <mergeCell ref="A20:J20"/>
    <mergeCell ref="B21:J21"/>
    <mergeCell ref="B18:J18"/>
    <mergeCell ref="C16:J16"/>
    <mergeCell ref="A17:J17"/>
    <mergeCell ref="C15:J15"/>
    <mergeCell ref="K11:P11"/>
    <mergeCell ref="Q14:T14"/>
    <mergeCell ref="Q9:T9"/>
    <mergeCell ref="K9:P9"/>
    <mergeCell ref="K10:P10"/>
    <mergeCell ref="P1:AD1"/>
    <mergeCell ref="AC8:AH8"/>
    <mergeCell ref="Q15:T15"/>
    <mergeCell ref="Q16:T16"/>
    <mergeCell ref="A3:J3"/>
    <mergeCell ref="B69:G69"/>
    <mergeCell ref="H69:K69"/>
    <mergeCell ref="L69:M69"/>
    <mergeCell ref="O69:P69"/>
    <mergeCell ref="W68:AH68"/>
    <mergeCell ref="W69:AH69"/>
    <mergeCell ref="A65:AH66"/>
    <mergeCell ref="B67:G67"/>
    <mergeCell ref="H67:K67"/>
    <mergeCell ref="L67:M67"/>
    <mergeCell ref="O67:P67"/>
    <mergeCell ref="B68:G68"/>
    <mergeCell ref="H68:K68"/>
    <mergeCell ref="L68:M68"/>
    <mergeCell ref="O68:P68"/>
    <mergeCell ref="W67:AH67"/>
  </mergeCells>
  <phoneticPr fontId="16" type="noConversion"/>
  <printOptions horizontalCentered="1"/>
  <pageMargins left="0.31486111879348755" right="0.31486111879348755" top="0.74750000238418579" bottom="0.55097222328186035" header="0.31486111879348755" footer="0.31486111879348755"/>
  <pageSetup paperSize="9" orientation="portrait"/>
  <headerFooter>
    <oddFooter>&amp;C&amp;"맑은 고딕,Regular"&amp;N페이지 중 &amp;P페이지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8</vt:i4>
      </vt:variant>
    </vt:vector>
  </HeadingPairs>
  <TitlesOfParts>
    <vt:vector size="19" baseType="lpstr">
      <vt:lpstr>수가정보 및 인건비비율</vt:lpstr>
      <vt:lpstr>예산Balnace</vt:lpstr>
      <vt:lpstr>인건비balance</vt:lpstr>
      <vt:lpstr>예산서사전준비</vt:lpstr>
      <vt:lpstr>표제</vt:lpstr>
      <vt:lpstr>예산총칙</vt:lpstr>
      <vt:lpstr>예산총괄표</vt:lpstr>
      <vt:lpstr>인건비비율</vt:lpstr>
      <vt:lpstr>세입예산서</vt:lpstr>
      <vt:lpstr>세출예산서</vt:lpstr>
      <vt:lpstr>임직원보수일람표</vt:lpstr>
      <vt:lpstr>세입예산서!Print_Area</vt:lpstr>
      <vt:lpstr>세출예산서!Print_Area</vt:lpstr>
      <vt:lpstr>예산총괄표!Print_Area</vt:lpstr>
      <vt:lpstr>예산총칙!Print_Area</vt:lpstr>
      <vt:lpstr>인건비비율!Print_Area</vt:lpstr>
      <vt:lpstr>표제!Print_Area</vt:lpstr>
      <vt:lpstr>세입예산서!Print_Titles</vt:lpstr>
      <vt:lpstr>세출예산서!Print_Titles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31</cp:revision>
  <cp:lastPrinted>2024-04-19T07:56:57Z</cp:lastPrinted>
  <dcterms:created xsi:type="dcterms:W3CDTF">2015-06-05T18:19:34Z</dcterms:created>
  <dcterms:modified xsi:type="dcterms:W3CDTF">2024-09-09T06:01:42Z</dcterms:modified>
  <cp:version>1100.0100.01</cp:version>
</cp:coreProperties>
</file>