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Waseem\Personal\Investment Proof Submissions\2020-21\"/>
    </mc:Choice>
  </mc:AlternateContent>
  <xr:revisionPtr revIDLastSave="0" documentId="8_{7F3A1E36-1CCE-455A-94BE-C3C3DD61507C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mparision of tax regime" sheetId="1" r:id="rId1"/>
    <sheet name="C &amp; D" sheetId="4" state="hidden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D42" i="4" l="1"/>
  <c r="E23" i="4"/>
  <c r="E41" i="4" s="1"/>
  <c r="D41" i="4" s="1"/>
  <c r="E15" i="4"/>
  <c r="E16" i="4"/>
  <c r="E17" i="4"/>
  <c r="E18" i="4"/>
  <c r="D18" i="4"/>
  <c r="D40" i="1"/>
  <c r="D18" i="1"/>
  <c r="E17" i="1"/>
  <c r="E16" i="1"/>
  <c r="E15" i="1"/>
  <c r="E39" i="1"/>
  <c r="D39" i="1" s="1"/>
  <c r="E12" i="4"/>
  <c r="E22" i="4" s="1"/>
  <c r="D22" i="4" s="1"/>
  <c r="E40" i="4"/>
  <c r="D40" i="4" s="1"/>
  <c r="E27" i="1" l="1"/>
  <c r="D27" i="1" s="1"/>
  <c r="M14" i="1" s="1"/>
  <c r="E22" i="1"/>
  <c r="E18" i="1"/>
  <c r="E24" i="4"/>
  <c r="E28" i="4"/>
  <c r="E28" i="1" l="1"/>
  <c r="E29" i="1"/>
  <c r="D29" i="1" s="1"/>
  <c r="M15" i="1"/>
  <c r="D22" i="1"/>
  <c r="D28" i="1"/>
  <c r="E21" i="4"/>
  <c r="D28" i="4"/>
  <c r="E29" i="4"/>
  <c r="D29" i="4" s="1"/>
  <c r="E30" i="4"/>
  <c r="D30" i="4" s="1"/>
  <c r="D24" i="4"/>
  <c r="E38" i="4"/>
  <c r="D38" i="4" s="1"/>
  <c r="M13" i="1" l="1"/>
  <c r="J16" i="1"/>
  <c r="D21" i="4"/>
  <c r="D25" i="4" s="1"/>
  <c r="E25" i="4"/>
  <c r="E31" i="4" s="1"/>
  <c r="E32" i="4" s="1"/>
  <c r="E37" i="4"/>
  <c r="D37" i="4" s="1"/>
  <c r="D31" i="4" l="1"/>
  <c r="D32" i="4"/>
  <c r="E33" i="4"/>
  <c r="D33" i="4" l="1"/>
  <c r="D34" i="4" s="1"/>
  <c r="E34" i="4"/>
  <c r="E39" i="4" l="1"/>
  <c r="D39" i="4" l="1"/>
  <c r="D44" i="4" s="1"/>
  <c r="E44" i="4"/>
  <c r="E46" i="4" s="1"/>
  <c r="D46" i="4" s="1"/>
  <c r="E21" i="1"/>
  <c r="D21" i="1" s="1"/>
  <c r="E23" i="1"/>
  <c r="E37" i="1" s="1"/>
  <c r="D37" i="1" s="1"/>
  <c r="D23" i="1" l="1"/>
  <c r="D24" i="1" s="1"/>
  <c r="E24" i="1"/>
  <c r="E36" i="1"/>
  <c r="D36" i="1" l="1"/>
  <c r="E30" i="1"/>
  <c r="E31" i="1" l="1"/>
  <c r="D31" i="1" s="1"/>
  <c r="D30" i="1"/>
  <c r="E32" i="1" l="1"/>
  <c r="D32" i="1" l="1"/>
  <c r="D33" i="1" s="1"/>
  <c r="J13" i="1" s="1"/>
  <c r="E33" i="1"/>
  <c r="E38" i="1" l="1"/>
  <c r="M32" i="1"/>
  <c r="O32" i="1" s="1"/>
  <c r="M33" i="1"/>
  <c r="O33" i="1" s="1"/>
  <c r="M28" i="1"/>
  <c r="O28" i="1" s="1"/>
  <c r="M31" i="1"/>
  <c r="O31" i="1" s="1"/>
  <c r="M30" i="1"/>
  <c r="O30" i="1" s="1"/>
  <c r="O35" i="1"/>
  <c r="M29" i="1"/>
  <c r="O29" i="1" s="1"/>
  <c r="O34" i="1" l="1"/>
  <c r="O36" i="1" s="1"/>
  <c r="D38" i="1"/>
  <c r="E42" i="1"/>
  <c r="E44" i="1" s="1"/>
  <c r="D44" i="1" l="1"/>
  <c r="J14" i="1"/>
  <c r="J24" i="1" s="1"/>
  <c r="D42" i="1"/>
  <c r="O37" i="1"/>
  <c r="O38" i="1"/>
  <c r="O39" i="1" s="1"/>
  <c r="O40" i="1" s="1"/>
  <c r="J33" i="1" l="1"/>
  <c r="H31" i="1"/>
  <c r="J31" i="1" s="1"/>
  <c r="H29" i="1"/>
  <c r="J29" i="1" s="1"/>
  <c r="H30" i="1"/>
  <c r="J30" i="1" s="1"/>
  <c r="J32" i="1" l="1"/>
  <c r="J34" i="1" s="1"/>
  <c r="J35" i="1" l="1"/>
  <c r="J36" i="1" s="1"/>
  <c r="J37" i="1" s="1"/>
  <c r="J38" i="1" s="1"/>
</calcChain>
</file>

<file path=xl/sharedStrings.xml><?xml version="1.0" encoding="utf-8"?>
<sst xmlns="http://schemas.openxmlformats.org/spreadsheetml/2006/main" count="126" uniqueCount="78">
  <si>
    <t>EMPLOYEE PAYROLL FORM</t>
  </si>
  <si>
    <t>Employee ID</t>
  </si>
  <si>
    <t>Full Name</t>
  </si>
  <si>
    <t>Date of Birth</t>
  </si>
  <si>
    <t>Gender</t>
  </si>
  <si>
    <t>Date of Joining</t>
  </si>
  <si>
    <t>Marital Status</t>
  </si>
  <si>
    <t>Mobile No.</t>
  </si>
  <si>
    <t>PAN</t>
  </si>
  <si>
    <t>Sr.No.</t>
  </si>
  <si>
    <t>Particulars</t>
  </si>
  <si>
    <t>Amount p.a.</t>
  </si>
  <si>
    <t>Amount p.m.</t>
  </si>
  <si>
    <t>CTC - Cost to Company</t>
  </si>
  <si>
    <t>Children Education Allowance</t>
  </si>
  <si>
    <t>Hostel Expenditure for Children</t>
  </si>
  <si>
    <t>Leave Travel Allowance</t>
  </si>
  <si>
    <t>Total of FBP and Retiral Benefits</t>
  </si>
  <si>
    <t>Retiral Benefits &amp; Social Security cont</t>
  </si>
  <si>
    <t>PF Employer</t>
  </si>
  <si>
    <t>Gratuity</t>
  </si>
  <si>
    <t>National Pension Scheme (80CCD 2)</t>
  </si>
  <si>
    <t>ESI - Employer cont</t>
  </si>
  <si>
    <t>Total</t>
  </si>
  <si>
    <t>Salary Breakup</t>
  </si>
  <si>
    <t>Basic</t>
  </si>
  <si>
    <t>HRA</t>
  </si>
  <si>
    <t>Bonus</t>
  </si>
  <si>
    <t>Medical Allowance</t>
  </si>
  <si>
    <t>Conveyance Allowance</t>
  </si>
  <si>
    <t>Fixed allowance</t>
  </si>
  <si>
    <t>Gross Salary</t>
  </si>
  <si>
    <t>Regular Deductions</t>
  </si>
  <si>
    <t>Provident Fund</t>
  </si>
  <si>
    <t>ESI - Employee Cont</t>
  </si>
  <si>
    <t>Prof. Tax</t>
  </si>
  <si>
    <t>Corpus Fund</t>
  </si>
  <si>
    <t>National Pension Scheme</t>
  </si>
  <si>
    <t>Income Tax</t>
  </si>
  <si>
    <t>Total Deductions</t>
  </si>
  <si>
    <t>Net Pay (4-5)</t>
  </si>
  <si>
    <t xml:space="preserve">Flexible Benefit Components </t>
  </si>
  <si>
    <t>Skill allowance</t>
  </si>
  <si>
    <t xml:space="preserve">Santosh Chidura
</t>
  </si>
  <si>
    <t xml:space="preserve">                                                                                                                                                                 (Employee Signature)                                                                                                 </t>
  </si>
  <si>
    <t>Details</t>
  </si>
  <si>
    <t>Amount (Rs.)</t>
  </si>
  <si>
    <t>Gross Income</t>
  </si>
  <si>
    <t>Deductions: Tax on employment</t>
  </si>
  <si>
    <t>Total Taxable income</t>
  </si>
  <si>
    <t>Tax Slabs</t>
  </si>
  <si>
    <t>Tax (Rs)</t>
  </si>
  <si>
    <t>Tax</t>
  </si>
  <si>
    <t>Health &amp; Education cess</t>
  </si>
  <si>
    <t>Total tax payable per annum</t>
  </si>
  <si>
    <t>Tax per month</t>
  </si>
  <si>
    <t>Net Per month</t>
  </si>
  <si>
    <t>Tax calculation for FY 2020-21</t>
  </si>
  <si>
    <t>80C</t>
  </si>
  <si>
    <t>80D</t>
  </si>
  <si>
    <t>Standard deduction</t>
  </si>
  <si>
    <t>PF Contribution</t>
  </si>
  <si>
    <t>MAX</t>
  </si>
  <si>
    <t>HRA Exemption</t>
  </si>
  <si>
    <t>1. HRA received from the company</t>
  </si>
  <si>
    <t>2. Rent paid by the employee - 10% Basic</t>
  </si>
  <si>
    <t>3. 40% of Basic</t>
  </si>
  <si>
    <t>Monthly rent paid</t>
  </si>
  <si>
    <t>Surcharge</t>
  </si>
  <si>
    <t>Tax payable including surcharge</t>
  </si>
  <si>
    <t>Tax %</t>
  </si>
  <si>
    <t>Tax option A - Existing Tax Regime</t>
  </si>
  <si>
    <t>Tax option B - New Tax Regime</t>
  </si>
  <si>
    <t>80E (education Loan)</t>
  </si>
  <si>
    <t>80CCD (50K) (NPS)</t>
  </si>
  <si>
    <t>Sec 24 (HL principal 2L)</t>
  </si>
  <si>
    <t>80U (Disability)</t>
  </si>
  <si>
    <t>80DDB (sd)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</si>
</sst>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;[Red]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rebuchet MS"/>
      <family val="2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0"/>
      <name val="Trebuchet MS"/>
      <family val="2"/>
    </font>
    <font>
      <b/>
      <sz val="12"/>
      <name val="Trebuchet MS"/>
      <family val="2"/>
    </font>
    <font>
      <b/>
      <sz val="10"/>
      <name val="Trebuchet MS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112">
    <xf numFmtId="0" fontId="0" fillId="0" borderId="0" xfId="0"/>
    <xf numFmtId="0" fontId="2" fillId="2" borderId="0" xfId="0" applyFont="1" applyFill="1" applyProtection="1">
      <protection hidden="1"/>
    </xf>
    <xf numFmtId="0" fontId="2" fillId="2" borderId="0" xfId="0" applyFont="1" applyFill="1"/>
    <xf numFmtId="0" fontId="0" fillId="2" borderId="0" xfId="0" applyFill="1"/>
    <xf numFmtId="164" fontId="0" fillId="2" borderId="0" xfId="0" applyNumberFormat="1" applyFill="1"/>
    <xf numFmtId="0" fontId="2" fillId="2" borderId="0" xfId="0" applyFont="1" applyFill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15" fontId="0" fillId="2" borderId="1" xfId="0" applyNumberFormat="1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 applyProtection="1">
      <alignment horizontal="left" vertical="center" indent="2"/>
      <protection hidden="1"/>
    </xf>
    <xf numFmtId="164" fontId="3" fillId="2" borderId="1" xfId="1" applyNumberFormat="1" applyFont="1" applyFill="1" applyBorder="1" applyAlignment="1" applyProtection="1">
      <alignment horizontal="left" vertical="center"/>
      <protection hidden="1"/>
    </xf>
    <xf numFmtId="0" fontId="3" fillId="2" borderId="1" xfId="0" applyFont="1" applyFill="1" applyBorder="1"/>
    <xf numFmtId="164" fontId="3" fillId="2" borderId="1" xfId="1" applyNumberFormat="1" applyFont="1" applyFill="1" applyBorder="1" applyAlignment="1" applyProtection="1">
      <alignment vertical="center"/>
      <protection hidden="1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7" fillId="2" borderId="1" xfId="2" applyNumberFormat="1" applyFont="1" applyFill="1" applyBorder="1" applyAlignment="1">
      <alignment horizontal="right" vertical="center"/>
    </xf>
    <xf numFmtId="164" fontId="6" fillId="2" borderId="1" xfId="1" applyNumberFormat="1" applyFont="1" applyFill="1" applyBorder="1" applyAlignment="1" applyProtection="1">
      <alignment vertical="center"/>
      <protection hidden="1"/>
    </xf>
    <xf numFmtId="164" fontId="3" fillId="2" borderId="1" xfId="1" applyNumberFormat="1" applyFont="1" applyFill="1" applyBorder="1" applyAlignment="1">
      <alignment vertical="center"/>
    </xf>
    <xf numFmtId="164" fontId="6" fillId="2" borderId="1" xfId="1" applyNumberFormat="1" applyFont="1" applyFill="1" applyBorder="1" applyAlignment="1">
      <alignment vertical="center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left" vertical="center"/>
      <protection hidden="1"/>
    </xf>
    <xf numFmtId="164" fontId="3" fillId="2" borderId="1" xfId="1" applyNumberFormat="1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left" vertical="center"/>
      <protection hidden="1"/>
    </xf>
    <xf numFmtId="0" fontId="0" fillId="2" borderId="0" xfId="0" applyFont="1" applyFill="1"/>
    <xf numFmtId="0" fontId="3" fillId="2" borderId="0" xfId="0" applyFont="1" applyFill="1" applyProtection="1">
      <protection hidden="1"/>
    </xf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vertical="center"/>
    </xf>
    <xf numFmtId="0" fontId="10" fillId="0" borderId="0" xfId="0" applyFont="1" applyFill="1"/>
    <xf numFmtId="0" fontId="2" fillId="0" borderId="0" xfId="0" applyFont="1" applyFill="1"/>
    <xf numFmtId="0" fontId="11" fillId="0" borderId="8" xfId="0" applyFont="1" applyFill="1" applyBorder="1" applyAlignment="1">
      <alignment horizontal="right"/>
    </xf>
    <xf numFmtId="164" fontId="12" fillId="0" borderId="9" xfId="0" applyNumberFormat="1" applyFont="1" applyFill="1" applyBorder="1"/>
    <xf numFmtId="164" fontId="2" fillId="0" borderId="11" xfId="0" applyNumberFormat="1" applyFont="1" applyFill="1" applyBorder="1"/>
    <xf numFmtId="164" fontId="12" fillId="0" borderId="14" xfId="0" applyNumberFormat="1" applyFont="1" applyFill="1" applyBorder="1"/>
    <xf numFmtId="0" fontId="13" fillId="0" borderId="17" xfId="0" applyFont="1" applyBorder="1" applyAlignment="1">
      <alignment horizontal="right"/>
    </xf>
    <xf numFmtId="164" fontId="0" fillId="0" borderId="18" xfId="1" applyNumberFormat="1" applyFont="1" applyBorder="1"/>
    <xf numFmtId="164" fontId="0" fillId="0" borderId="1" xfId="1" applyNumberFormat="1" applyFont="1" applyBorder="1"/>
    <xf numFmtId="164" fontId="0" fillId="0" borderId="11" xfId="1" applyNumberFormat="1" applyFont="1" applyBorder="1"/>
    <xf numFmtId="43" fontId="9" fillId="0" borderId="11" xfId="1" applyNumberFormat="1" applyFont="1" applyBorder="1"/>
    <xf numFmtId="164" fontId="12" fillId="0" borderId="11" xfId="0" applyNumberFormat="1" applyFont="1" applyFill="1" applyBorder="1"/>
    <xf numFmtId="164" fontId="12" fillId="4" borderId="14" xfId="0" applyNumberFormat="1" applyFont="1" applyFill="1" applyBorder="1"/>
    <xf numFmtId="164" fontId="2" fillId="3" borderId="11" xfId="0" applyNumberFormat="1" applyFont="1" applyFill="1" applyBorder="1"/>
    <xf numFmtId="164" fontId="2" fillId="3" borderId="20" xfId="0" applyNumberFormat="1" applyFont="1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/>
    <xf numFmtId="164" fontId="0" fillId="2" borderId="4" xfId="0" applyNumberFormat="1" applyFill="1" applyBorder="1"/>
    <xf numFmtId="164" fontId="0" fillId="3" borderId="4" xfId="0" applyNumberFormat="1" applyFill="1" applyBorder="1"/>
    <xf numFmtId="43" fontId="0" fillId="2" borderId="0" xfId="0" applyNumberFormat="1" applyFill="1"/>
    <xf numFmtId="3" fontId="7" fillId="3" borderId="1" xfId="2" applyNumberFormat="1" applyFont="1" applyFill="1" applyBorder="1" applyAlignment="1">
      <alignment horizontal="right" vertical="center"/>
    </xf>
    <xf numFmtId="0" fontId="13" fillId="0" borderId="23" xfId="0" applyFont="1" applyBorder="1" applyAlignment="1">
      <alignment horizontal="center"/>
    </xf>
    <xf numFmtId="164" fontId="0" fillId="0" borderId="2" xfId="1" applyNumberFormat="1" applyFont="1" applyBorder="1"/>
    <xf numFmtId="164" fontId="0" fillId="0" borderId="2" xfId="1" applyNumberFormat="1" applyFont="1" applyBorder="1" applyAlignment="1">
      <alignment horizontal="center"/>
    </xf>
    <xf numFmtId="164" fontId="0" fillId="2" borderId="0" xfId="0" applyNumberFormat="1" applyFill="1" applyBorder="1"/>
    <xf numFmtId="0" fontId="0" fillId="2" borderId="0" xfId="0" applyFill="1" applyBorder="1"/>
    <xf numFmtId="0" fontId="15" fillId="5" borderId="19" xfId="0" applyFont="1" applyFill="1" applyBorder="1"/>
    <xf numFmtId="0" fontId="2" fillId="0" borderId="10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4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4" fillId="0" borderId="10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4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2" fillId="0" borderId="10" xfId="0" applyFont="1" applyFill="1" applyBorder="1" applyAlignment="1">
      <alignment horizontal="left" wrapText="1"/>
    </xf>
    <xf numFmtId="0" fontId="2" fillId="0" borderId="3" xfId="0" applyFont="1" applyFill="1" applyBorder="1" applyAlignment="1">
      <alignment horizontal="left" wrapText="1"/>
    </xf>
    <xf numFmtId="0" fontId="2" fillId="0" borderId="4" xfId="0" applyFont="1" applyFill="1" applyBorder="1" applyAlignment="1">
      <alignment horizontal="left" wrapText="1"/>
    </xf>
    <xf numFmtId="0" fontId="12" fillId="0" borderId="24" xfId="0" applyFont="1" applyFill="1" applyBorder="1" applyAlignment="1">
      <alignment horizontal="left"/>
    </xf>
    <xf numFmtId="0" fontId="12" fillId="0" borderId="25" xfId="0" applyFont="1" applyFill="1" applyBorder="1" applyAlignment="1">
      <alignment horizontal="left"/>
    </xf>
    <xf numFmtId="0" fontId="12" fillId="0" borderId="26" xfId="0" applyFont="1" applyFill="1" applyBorder="1" applyAlignment="1">
      <alignment horizontal="left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2" fillId="0" borderId="12" xfId="0" applyFont="1" applyFill="1" applyBorder="1" applyAlignment="1">
      <alignment horizontal="left"/>
    </xf>
    <xf numFmtId="0" fontId="12" fillId="0" borderId="22" xfId="0" applyFont="1" applyFill="1" applyBorder="1" applyAlignment="1">
      <alignment horizontal="left"/>
    </xf>
    <xf numFmtId="0" fontId="12" fillId="0" borderId="13" xfId="0" applyFont="1" applyFill="1" applyBorder="1" applyAlignment="1">
      <alignment horizontal="left"/>
    </xf>
    <xf numFmtId="0" fontId="12" fillId="0" borderId="10" xfId="0" applyFont="1" applyFill="1" applyBorder="1" applyAlignment="1">
      <alignment horizontal="left"/>
    </xf>
    <xf numFmtId="0" fontId="12" fillId="0" borderId="3" xfId="0" applyFont="1" applyFill="1" applyBorder="1" applyAlignment="1">
      <alignment horizontal="left"/>
    </xf>
    <xf numFmtId="0" fontId="12" fillId="0" borderId="4" xfId="0" applyFont="1" applyFill="1" applyBorder="1" applyAlignment="1">
      <alignment horizontal="left"/>
    </xf>
    <xf numFmtId="0" fontId="12" fillId="4" borderId="12" xfId="0" applyFont="1" applyFill="1" applyBorder="1" applyAlignment="1">
      <alignment horizontal="left"/>
    </xf>
    <xf numFmtId="0" fontId="12" fillId="4" borderId="22" xfId="0" applyFont="1" applyFill="1" applyBorder="1" applyAlignment="1">
      <alignment horizontal="left"/>
    </xf>
    <xf numFmtId="0" fontId="12" fillId="4" borderId="13" xfId="0" applyFont="1" applyFill="1" applyBorder="1" applyAlignment="1">
      <alignment horizontal="left"/>
    </xf>
    <xf numFmtId="0" fontId="6" fillId="2" borderId="2" xfId="0" applyFont="1" applyFill="1" applyBorder="1" applyAlignment="1" applyProtection="1">
      <alignment horizontal="left" vertical="center"/>
      <protection hidden="1"/>
    </xf>
    <xf numFmtId="0" fontId="6" fillId="2" borderId="4" xfId="0" applyFont="1" applyFill="1" applyBorder="1" applyAlignment="1" applyProtection="1">
      <alignment horizontal="left" vertical="center"/>
      <protection hidden="1"/>
    </xf>
    <xf numFmtId="0" fontId="8" fillId="2" borderId="2" xfId="0" applyFont="1" applyFill="1" applyBorder="1" applyAlignment="1" applyProtection="1">
      <alignment horizontal="left" vertical="center"/>
      <protection hidden="1"/>
    </xf>
    <xf numFmtId="0" fontId="8" fillId="2" borderId="4" xfId="0" applyFont="1" applyFill="1" applyBorder="1" applyAlignment="1" applyProtection="1">
      <alignment horizontal="left" vertical="center"/>
      <protection hidden="1"/>
    </xf>
    <xf numFmtId="0" fontId="3" fillId="2" borderId="2" xfId="0" applyFont="1" applyFill="1" applyBorder="1" applyAlignment="1" applyProtection="1">
      <alignment horizontal="left" vertical="center"/>
      <protection hidden="1"/>
    </xf>
    <xf numFmtId="0" fontId="3" fillId="2" borderId="4" xfId="0" applyFont="1" applyFill="1" applyBorder="1" applyAlignment="1" applyProtection="1">
      <alignment horizontal="left" vertical="center"/>
      <protection hidden="1"/>
    </xf>
    <xf numFmtId="0" fontId="9" fillId="0" borderId="10" xfId="0" applyFont="1" applyBorder="1" applyAlignment="1">
      <alignment horizontal="left"/>
    </xf>
    <xf numFmtId="0" fontId="9" fillId="0" borderId="3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64" fontId="3" fillId="2" borderId="1" xfId="1" applyNumberFormat="1" applyFont="1" applyFill="1" applyBorder="1" applyAlignment="1" applyProtection="1">
      <alignment horizontal="left" vertical="center"/>
      <protection hidden="1"/>
    </xf>
    <xf numFmtId="165" fontId="3" fillId="2" borderId="2" xfId="1" applyNumberFormat="1" applyFont="1" applyFill="1" applyBorder="1" applyAlignment="1" applyProtection="1">
      <alignment horizontal="center" vertical="top" wrapText="1"/>
      <protection hidden="1"/>
    </xf>
    <xf numFmtId="165" fontId="3" fillId="2" borderId="3" xfId="1" applyNumberFormat="1" applyFont="1" applyFill="1" applyBorder="1" applyAlignment="1" applyProtection="1">
      <alignment horizontal="center" vertical="top"/>
      <protection hidden="1"/>
    </xf>
    <xf numFmtId="165" fontId="3" fillId="2" borderId="4" xfId="1" applyNumberFormat="1" applyFont="1" applyFill="1" applyBorder="1" applyAlignment="1" applyProtection="1">
      <alignment horizontal="center" vertical="top"/>
      <protection hidden="1"/>
    </xf>
    <xf numFmtId="164" fontId="3" fillId="3" borderId="2" xfId="1" applyNumberFormat="1" applyFont="1" applyFill="1" applyBorder="1" applyAlignment="1" applyProtection="1">
      <alignment horizontal="center" vertical="top" wrapText="1"/>
      <protection hidden="1"/>
    </xf>
    <xf numFmtId="164" fontId="3" fillId="3" borderId="3" xfId="1" applyNumberFormat="1" applyFont="1" applyFill="1" applyBorder="1" applyAlignment="1" applyProtection="1">
      <alignment horizontal="center" vertical="top"/>
      <protection hidden="1"/>
    </xf>
    <xf numFmtId="164" fontId="3" fillId="3" borderId="4" xfId="1" applyNumberFormat="1" applyFont="1" applyFill="1" applyBorder="1" applyAlignment="1" applyProtection="1">
      <alignment horizontal="center" vertical="top"/>
      <protection hidden="1"/>
    </xf>
    <xf numFmtId="0" fontId="5" fillId="2" borderId="2" xfId="0" applyFont="1" applyFill="1" applyBorder="1" applyAlignment="1" applyProtection="1">
      <alignment horizontal="center" vertical="center"/>
      <protection hidden="1"/>
    </xf>
    <xf numFmtId="0" fontId="5" fillId="2" borderId="4" xfId="0" applyFont="1" applyFill="1" applyBorder="1" applyAlignment="1" applyProtection="1">
      <alignment horizontal="center" vertical="center"/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4" xfId="0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/>
    <xf numFmtId="165" fontId="3" fillId="2" borderId="2" xfId="1" applyNumberFormat="1" applyFont="1" applyFill="1" applyBorder="1" applyAlignment="1" applyProtection="1">
      <alignment horizontal="center" vertical="center"/>
      <protection hidden="1"/>
    </xf>
    <xf numFmtId="165" fontId="3" fillId="2" borderId="3" xfId="1" applyNumberFormat="1" applyFont="1" applyFill="1" applyBorder="1" applyAlignment="1" applyProtection="1">
      <alignment horizontal="center" vertical="center"/>
      <protection hidden="1"/>
    </xf>
    <xf numFmtId="165" fontId="3" fillId="2" borderId="4" xfId="1" applyNumberFormat="1" applyFont="1" applyFill="1" applyBorder="1" applyAlignment="1" applyProtection="1">
      <alignment horizontal="center" vertical="center"/>
      <protection hidden="1"/>
    </xf>
    <xf numFmtId="164" fontId="3" fillId="2" borderId="2" xfId="1" applyNumberFormat="1" applyFont="1" applyFill="1" applyBorder="1" applyAlignment="1" applyProtection="1">
      <alignment horizontal="center" vertical="top" wrapText="1"/>
      <protection hidden="1"/>
    </xf>
    <xf numFmtId="164" fontId="3" fillId="2" borderId="3" xfId="1" applyNumberFormat="1" applyFont="1" applyFill="1" applyBorder="1" applyAlignment="1" applyProtection="1">
      <alignment horizontal="center" vertical="top"/>
      <protection hidden="1"/>
    </xf>
    <xf numFmtId="164" fontId="3" fillId="2" borderId="4" xfId="1" applyNumberFormat="1" applyFont="1" applyFill="1" applyBorder="1" applyAlignment="1" applyProtection="1">
      <alignment horizontal="center" vertical="top"/>
      <protection hidden="1"/>
    </xf>
  </cellXfs>
  <cellStyles count="3">
    <cellStyle name="Comma" xfId="1" builtinId="3"/>
    <cellStyle name="Normal" xfId="0" builtinId="0"/>
    <cellStyle name="Normal 10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402168</xdr:colOff>
      <xdr:row>1</xdr:row>
      <xdr:rowOff>42333</xdr:rowOff>
    </xdr:from>
    <xdr:to>
      <xdr:col>2</xdr:col>
      <xdr:colOff>2603500</xdr:colOff>
      <xdr:row>4</xdr:row>
      <xdr:rowOff>179918</xdr:rowOff>
    </xdr:to>
    <xdr:sp macro="" textlink="">
      <xdr:nvSpPr>
        <xdr:cNvPr id="2" name="Rectangular Callou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97001" y="232833"/>
          <a:ext cx="2201332" cy="719668"/>
        </a:xfrm>
        <a:prstGeom prst="wedgeRectCallo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Please enter MAX if you contribute or wish</a:t>
          </a:r>
          <a:r>
            <a:rPr lang="en-US" sz="1100" baseline="0"/>
            <a:t> to contribute 12% PF,else enter MIN.	</a:t>
          </a:r>
          <a:endParaRPr lang="en-US" sz="1100"/>
        </a:p>
      </xdr:txBody>
    </xdr:sp>
    <xdr:clientData/>
  </xdr:twoCellAnchor>
  <xdr:twoCellAnchor>
    <xdr:from>
      <xdr:col>6</xdr:col>
      <xdr:colOff>1005417</xdr:colOff>
      <xdr:row>0</xdr:row>
      <xdr:rowOff>137582</xdr:rowOff>
    </xdr:from>
    <xdr:to>
      <xdr:col>11</xdr:col>
      <xdr:colOff>254000</xdr:colOff>
      <xdr:row>4</xdr:row>
      <xdr:rowOff>116416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7006167" y="137582"/>
          <a:ext cx="3312583" cy="751417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800" b="1">
              <a:solidFill>
                <a:schemeClr val="tx1"/>
              </a:solidFill>
            </a:rPr>
            <a:t>Please enter</a:t>
          </a:r>
          <a:r>
            <a:rPr lang="en-US" sz="1800" b="1" baseline="0">
              <a:solidFill>
                <a:schemeClr val="tx1"/>
              </a:solidFill>
            </a:rPr>
            <a:t> the respective value in boxes marked in yellow.</a:t>
          </a:r>
        </a:p>
        <a:p>
          <a:pPr algn="l"/>
          <a:endParaRPr lang="en-US" sz="1100" b="1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2</xdr:col>
      <xdr:colOff>361950</xdr:colOff>
      <xdr:row>4</xdr:row>
      <xdr:rowOff>6350</xdr:rowOff>
    </xdr:to>
    <xdr:pic>
      <xdr:nvPicPr>
        <xdr:cNvPr id="2" name="Picture 4" descr="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"/>
          <a:ext cx="2987675" cy="781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46"/>
  <sheetViews>
    <sheetView tabSelected="1" topLeftCell="A15" zoomScale="80" zoomScaleNormal="80" workbookViewId="0">
      <selection activeCell="K19" sqref="K19"/>
    </sheetView>
  </sheetViews>
  <sheetFormatPr defaultColWidth="9.140625" defaultRowHeight="15" x14ac:dyDescent="0.25"/>
  <cols>
    <col min="1" max="1" width="9.140625" style="6"/>
    <col min="2" max="2" width="5.7109375" style="3" customWidth="1"/>
    <col min="3" max="3" width="44.85546875" style="3" customWidth="1"/>
    <col min="4" max="4" width="13.7109375" style="3" bestFit="1" customWidth="1"/>
    <col min="5" max="5" width="12.42578125" style="3" bestFit="1" customWidth="1"/>
    <col min="6" max="6" width="4.140625" style="3" customWidth="1"/>
    <col min="7" max="7" width="34.85546875" style="3" bestFit="1" customWidth="1"/>
    <col min="8" max="9" width="12.140625" style="3" customWidth="1"/>
    <col min="10" max="10" width="15.5703125" style="3" bestFit="1" customWidth="1"/>
    <col min="11" max="11" width="4.85546875" style="3" customWidth="1"/>
    <col min="12" max="12" width="30.7109375" style="3" customWidth="1"/>
    <col min="13" max="14" width="15.140625" style="3" customWidth="1"/>
    <col min="15" max="15" width="15" style="3" bestFit="1" customWidth="1"/>
    <col min="16" max="16384" width="9.140625" style="3"/>
  </cols>
  <sheetData>
    <row r="4" spans="1:14" ht="15.75" x14ac:dyDescent="0.3">
      <c r="A4" s="5"/>
      <c r="B4" s="1"/>
      <c r="C4" s="1"/>
      <c r="D4" s="2"/>
      <c r="E4" s="2"/>
    </row>
    <row r="5" spans="1:14" ht="18.75" x14ac:dyDescent="0.3">
      <c r="A5" s="93"/>
      <c r="B5" s="93"/>
      <c r="C5" s="93"/>
      <c r="D5" s="93"/>
      <c r="E5" s="93"/>
    </row>
    <row r="6" spans="1:14" hidden="1" x14ac:dyDescent="0.25">
      <c r="A6" s="94" t="s">
        <v>1</v>
      </c>
      <c r="B6" s="94"/>
      <c r="C6" s="95"/>
      <c r="D6" s="96"/>
      <c r="E6" s="97"/>
    </row>
    <row r="7" spans="1:14" x14ac:dyDescent="0.25">
      <c r="A7" s="94" t="s">
        <v>61</v>
      </c>
      <c r="B7" s="94"/>
      <c r="C7" s="98" t="s">
        <v>62</v>
      </c>
      <c r="D7" s="99"/>
      <c r="E7" s="100"/>
    </row>
    <row r="8" spans="1:14" ht="18.75" hidden="1" customHeight="1" thickBot="1" x14ac:dyDescent="0.3">
      <c r="A8" s="94" t="s">
        <v>3</v>
      </c>
      <c r="B8" s="94"/>
      <c r="C8" s="8"/>
      <c r="D8" s="9" t="s">
        <v>4</v>
      </c>
      <c r="E8" s="10"/>
    </row>
    <row r="9" spans="1:14" ht="15.75" hidden="1" customHeight="1" x14ac:dyDescent="0.25">
      <c r="A9" s="94" t="s">
        <v>5</v>
      </c>
      <c r="B9" s="94"/>
      <c r="C9" s="7"/>
      <c r="D9" s="9" t="s">
        <v>6</v>
      </c>
      <c r="E9" s="10"/>
    </row>
    <row r="10" spans="1:14" ht="15.75" hidden="1" customHeight="1" x14ac:dyDescent="0.25">
      <c r="A10" s="94" t="s">
        <v>7</v>
      </c>
      <c r="B10" s="94"/>
      <c r="C10" s="11"/>
      <c r="D10" s="9" t="s">
        <v>8</v>
      </c>
      <c r="E10" s="10"/>
    </row>
    <row r="11" spans="1:14" ht="16.5" thickBot="1" x14ac:dyDescent="0.35">
      <c r="A11" s="12" t="s">
        <v>9</v>
      </c>
      <c r="B11" s="101" t="s">
        <v>10</v>
      </c>
      <c r="C11" s="102"/>
      <c r="D11" s="13" t="s">
        <v>11</v>
      </c>
      <c r="E11" s="13" t="s">
        <v>12</v>
      </c>
      <c r="G11" s="28" t="s">
        <v>57</v>
      </c>
      <c r="H11" s="29"/>
      <c r="I11" s="29"/>
      <c r="J11" s="29"/>
    </row>
    <row r="12" spans="1:14" ht="18.75" thickBot="1" x14ac:dyDescent="0.4">
      <c r="A12" s="12">
        <v>1</v>
      </c>
      <c r="B12" s="84" t="s">
        <v>13</v>
      </c>
      <c r="C12" s="85"/>
      <c r="D12" s="48">
        <v>1600000</v>
      </c>
      <c r="E12" s="15">
        <f>ROUND(D12/12,0)</f>
        <v>133333</v>
      </c>
      <c r="G12" s="58" t="s">
        <v>45</v>
      </c>
      <c r="H12" s="59"/>
      <c r="I12" s="60"/>
      <c r="J12" s="30" t="s">
        <v>46</v>
      </c>
      <c r="L12" s="44" t="s">
        <v>63</v>
      </c>
    </row>
    <row r="13" spans="1:14" ht="30.75" x14ac:dyDescent="0.3">
      <c r="A13" s="12"/>
      <c r="B13" s="103"/>
      <c r="C13" s="104"/>
      <c r="D13" s="16"/>
      <c r="E13" s="11"/>
      <c r="G13" s="70" t="s">
        <v>47</v>
      </c>
      <c r="H13" s="71"/>
      <c r="I13" s="72"/>
      <c r="J13" s="31">
        <f>D33</f>
        <v>1519308</v>
      </c>
      <c r="L13" s="43" t="s">
        <v>64</v>
      </c>
      <c r="M13" s="45">
        <f>D28</f>
        <v>192000</v>
      </c>
      <c r="N13" s="52"/>
    </row>
    <row r="14" spans="1:14" ht="30.75" x14ac:dyDescent="0.3">
      <c r="A14" s="12">
        <v>2</v>
      </c>
      <c r="B14" s="86" t="s">
        <v>41</v>
      </c>
      <c r="C14" s="87"/>
      <c r="D14" s="16"/>
      <c r="E14" s="11"/>
      <c r="G14" s="55" t="s">
        <v>48</v>
      </c>
      <c r="H14" s="56"/>
      <c r="I14" s="57"/>
      <c r="J14" s="32">
        <f>D38</f>
        <v>2400</v>
      </c>
      <c r="L14" s="43" t="s">
        <v>65</v>
      </c>
      <c r="M14" s="45">
        <f>IF(M17&gt;0,ROUND((M17*12)-(D27*10%),0),0)</f>
        <v>51960</v>
      </c>
      <c r="N14" s="52"/>
    </row>
    <row r="15" spans="1:14" ht="15.75" x14ac:dyDescent="0.3">
      <c r="A15" s="12"/>
      <c r="B15" s="88" t="s">
        <v>14</v>
      </c>
      <c r="C15" s="89"/>
      <c r="D15" s="15">
        <v>0</v>
      </c>
      <c r="E15" s="15">
        <f>ROUND(D15/12,0)</f>
        <v>0</v>
      </c>
      <c r="G15" s="67" t="s">
        <v>60</v>
      </c>
      <c r="H15" s="68"/>
      <c r="I15" s="69"/>
      <c r="J15" s="32">
        <v>50000</v>
      </c>
      <c r="L15" s="43" t="s">
        <v>66</v>
      </c>
      <c r="M15" s="45">
        <f>ROUND(D27*40%,0)</f>
        <v>192000</v>
      </c>
      <c r="N15" s="52"/>
    </row>
    <row r="16" spans="1:14" ht="15.75" x14ac:dyDescent="0.3">
      <c r="A16" s="12"/>
      <c r="B16" s="88" t="s">
        <v>15</v>
      </c>
      <c r="C16" s="89"/>
      <c r="D16" s="15">
        <v>0</v>
      </c>
      <c r="E16" s="15">
        <f>ROUND(D16/12,0)</f>
        <v>0</v>
      </c>
      <c r="G16" s="55" t="s">
        <v>26</v>
      </c>
      <c r="H16" s="56"/>
      <c r="I16" s="57"/>
      <c r="J16" s="32">
        <f>MIN(M13:M15)</f>
        <v>51960</v>
      </c>
      <c r="L16" s="44"/>
      <c r="M16" s="45"/>
      <c r="N16" s="53"/>
    </row>
    <row r="17" spans="1:15" ht="15.75" x14ac:dyDescent="0.3">
      <c r="A17" s="12"/>
      <c r="B17" s="88" t="s">
        <v>16</v>
      </c>
      <c r="C17" s="89"/>
      <c r="D17" s="15">
        <v>0</v>
      </c>
      <c r="E17" s="15">
        <f>ROUND(D17/12,0)</f>
        <v>0</v>
      </c>
      <c r="G17" s="67" t="s">
        <v>58</v>
      </c>
      <c r="H17" s="68"/>
      <c r="I17" s="69"/>
      <c r="J17" s="41">
        <v>150000</v>
      </c>
      <c r="L17" s="44" t="s">
        <v>67</v>
      </c>
      <c r="M17" s="46">
        <v>8330</v>
      </c>
      <c r="N17" s="53"/>
    </row>
    <row r="18" spans="1:15" ht="15.75" x14ac:dyDescent="0.3">
      <c r="A18" s="12"/>
      <c r="B18" s="84" t="s">
        <v>17</v>
      </c>
      <c r="C18" s="85"/>
      <c r="D18" s="17">
        <f>SUM(D15:D17)</f>
        <v>0</v>
      </c>
      <c r="E18" s="17">
        <f>SUM(E15:E17)</f>
        <v>0</v>
      </c>
      <c r="G18" s="55" t="s">
        <v>59</v>
      </c>
      <c r="H18" s="56"/>
      <c r="I18" s="57"/>
      <c r="J18" s="41"/>
    </row>
    <row r="19" spans="1:15" ht="15.75" x14ac:dyDescent="0.3">
      <c r="A19" s="12"/>
      <c r="B19" s="88"/>
      <c r="C19" s="89"/>
      <c r="D19" s="17"/>
      <c r="E19" s="15"/>
      <c r="G19" s="55" t="s">
        <v>75</v>
      </c>
      <c r="H19" s="56"/>
      <c r="I19" s="57"/>
      <c r="J19" s="41">
        <v>200000</v>
      </c>
    </row>
    <row r="20" spans="1:15" ht="15.75" x14ac:dyDescent="0.3">
      <c r="A20" s="12">
        <v>3</v>
      </c>
      <c r="B20" s="86" t="s">
        <v>18</v>
      </c>
      <c r="C20" s="87"/>
      <c r="D20" s="17"/>
      <c r="E20" s="15"/>
      <c r="G20" s="55" t="s">
        <v>74</v>
      </c>
      <c r="H20" s="56"/>
      <c r="I20" s="57"/>
      <c r="J20" s="41"/>
    </row>
    <row r="21" spans="1:15" ht="15.75" x14ac:dyDescent="0.3">
      <c r="A21" s="12"/>
      <c r="B21" s="88" t="s">
        <v>19</v>
      </c>
      <c r="C21" s="89"/>
      <c r="D21" s="11">
        <f>+E21*12</f>
        <v>57600</v>
      </c>
      <c r="E21" s="11">
        <f>IF((D12&lt;600000),MIN(ROUND((E27+E30+E31)*12%,0),1800),IF((D12&gt;=600000)*AND(C7="MIN"),MIN(ROUND((E27+E30+E31)*12%,0),1800),IF((D12&gt;=600000)*AND(C7="MAX"),E27*12%,0)))</f>
        <v>4800</v>
      </c>
      <c r="F21" s="4"/>
      <c r="G21" s="55" t="s">
        <v>73</v>
      </c>
      <c r="H21" s="56"/>
      <c r="I21" s="57"/>
      <c r="J21" s="42"/>
    </row>
    <row r="22" spans="1:15" ht="15.75" x14ac:dyDescent="0.3">
      <c r="A22" s="12"/>
      <c r="B22" s="88" t="s">
        <v>20</v>
      </c>
      <c r="C22" s="89"/>
      <c r="D22" s="11">
        <f>+E22*12</f>
        <v>23088</v>
      </c>
      <c r="E22" s="11">
        <f>ROUND(E12*0.3*0.0481,0)</f>
        <v>1924</v>
      </c>
      <c r="F22" s="4"/>
      <c r="G22" s="55" t="s">
        <v>76</v>
      </c>
      <c r="H22" s="56"/>
      <c r="I22" s="57"/>
      <c r="J22" s="42"/>
    </row>
    <row r="23" spans="1:15" ht="15.75" x14ac:dyDescent="0.3">
      <c r="A23" s="12"/>
      <c r="B23" s="18" t="s">
        <v>22</v>
      </c>
      <c r="C23" s="19"/>
      <c r="D23" s="11">
        <f>E23*12</f>
        <v>0</v>
      </c>
      <c r="E23" s="15">
        <f>ROUND(IF(E12&lt;=23134,(E12-(E21+E22))*3.25/103.25,0),0)</f>
        <v>0</v>
      </c>
      <c r="F23" s="4"/>
      <c r="G23" s="55" t="s">
        <v>77</v>
      </c>
      <c r="H23" s="56"/>
      <c r="I23" s="57"/>
      <c r="J23" s="42"/>
    </row>
    <row r="24" spans="1:15" ht="16.5" thickBot="1" x14ac:dyDescent="0.35">
      <c r="A24" s="12"/>
      <c r="B24" s="84" t="s">
        <v>23</v>
      </c>
      <c r="C24" s="85"/>
      <c r="D24" s="17">
        <f>SUM(D21:D23)</f>
        <v>80688</v>
      </c>
      <c r="E24" s="17">
        <f>SUM(E21:E23)</f>
        <v>6724</v>
      </c>
      <c r="F24" s="4"/>
      <c r="G24" s="75" t="s">
        <v>49</v>
      </c>
      <c r="H24" s="76"/>
      <c r="I24" s="77"/>
      <c r="J24" s="33">
        <f>ROUND(J13-SUM(J14:J23),0)</f>
        <v>1064948</v>
      </c>
    </row>
    <row r="25" spans="1:15" ht="15.75" thickBot="1" x14ac:dyDescent="0.3">
      <c r="A25" s="12"/>
      <c r="B25" s="88"/>
      <c r="C25" s="89"/>
      <c r="D25" s="17"/>
      <c r="E25" s="15"/>
      <c r="F25" s="4"/>
      <c r="L25" s="54" t="s">
        <v>72</v>
      </c>
    </row>
    <row r="26" spans="1:15" ht="16.5" thickBot="1" x14ac:dyDescent="0.3">
      <c r="A26" s="12">
        <v>4</v>
      </c>
      <c r="B26" s="86" t="s">
        <v>24</v>
      </c>
      <c r="C26" s="87"/>
      <c r="D26" s="16"/>
      <c r="E26" s="16"/>
      <c r="G26" s="54" t="s">
        <v>71</v>
      </c>
      <c r="J26" s="47"/>
      <c r="L26" s="73" t="s">
        <v>50</v>
      </c>
      <c r="M26" s="74"/>
      <c r="N26" s="49" t="s">
        <v>70</v>
      </c>
      <c r="O26" s="34" t="s">
        <v>51</v>
      </c>
    </row>
    <row r="27" spans="1:15" ht="15.75" x14ac:dyDescent="0.25">
      <c r="A27" s="12"/>
      <c r="B27" s="88" t="s">
        <v>25</v>
      </c>
      <c r="C27" s="89"/>
      <c r="D27" s="11">
        <f>+E27*12</f>
        <v>480000</v>
      </c>
      <c r="E27" s="11">
        <f>ROUND(E12*0.3,0)</f>
        <v>40000</v>
      </c>
      <c r="G27" s="73" t="s">
        <v>50</v>
      </c>
      <c r="H27" s="74"/>
      <c r="I27" s="49" t="s">
        <v>70</v>
      </c>
      <c r="J27" s="34" t="s">
        <v>51</v>
      </c>
      <c r="L27" s="35">
        <v>0</v>
      </c>
      <c r="M27" s="36">
        <v>250000</v>
      </c>
      <c r="N27" s="50">
        <v>0</v>
      </c>
      <c r="O27" s="37">
        <v>0</v>
      </c>
    </row>
    <row r="28" spans="1:15" x14ac:dyDescent="0.25">
      <c r="A28" s="12"/>
      <c r="B28" s="88" t="s">
        <v>26</v>
      </c>
      <c r="C28" s="89"/>
      <c r="D28" s="11">
        <f>+E28*12</f>
        <v>192000</v>
      </c>
      <c r="E28" s="11">
        <f>ROUND(E27*40/100,0)</f>
        <v>16000</v>
      </c>
      <c r="F28" s="4"/>
      <c r="G28" s="35">
        <v>0</v>
      </c>
      <c r="H28" s="36">
        <v>250000</v>
      </c>
      <c r="I28" s="51">
        <v>0</v>
      </c>
      <c r="J28" s="37">
        <v>0</v>
      </c>
      <c r="L28" s="35">
        <v>250001</v>
      </c>
      <c r="M28" s="36">
        <f>IF($J$13&lt;L28,0,IF($J$13&gt;500000,500000,$J$13))</f>
        <v>500000</v>
      </c>
      <c r="N28" s="50">
        <v>5</v>
      </c>
      <c r="O28" s="37">
        <f>IF(((M28-L28)*5%&gt;=12499),12500,0)</f>
        <v>12500</v>
      </c>
    </row>
    <row r="29" spans="1:15" x14ac:dyDescent="0.25">
      <c r="A29" s="12"/>
      <c r="B29" s="88" t="s">
        <v>27</v>
      </c>
      <c r="C29" s="89"/>
      <c r="D29" s="11">
        <f>E29*12</f>
        <v>0</v>
      </c>
      <c r="E29" s="11">
        <f>MIN(IF(E27&lt;=21000,ROUND(E27*8.33%,0),0),584)</f>
        <v>0</v>
      </c>
      <c r="F29" s="4"/>
      <c r="G29" s="35">
        <v>250001</v>
      </c>
      <c r="H29" s="36">
        <f>IF($J$24&lt;G29,0,IF($J$24&gt;500000,500000,$J$24))</f>
        <v>500000</v>
      </c>
      <c r="I29" s="51">
        <v>5</v>
      </c>
      <c r="J29" s="37">
        <f>IF(((H29-G29)*5%&gt;=12499),12500,0)</f>
        <v>12500</v>
      </c>
      <c r="L29" s="35">
        <v>500001</v>
      </c>
      <c r="M29" s="36">
        <f>IF($J$13&lt;L29,0,IF($J$13&gt;750000,750000,$J$13))</f>
        <v>750000</v>
      </c>
      <c r="N29" s="50">
        <v>10</v>
      </c>
      <c r="O29" s="37">
        <f>IF((($M29-$L29)*10%&gt;0),($M29-$L29)*10%,0)</f>
        <v>24999.9</v>
      </c>
    </row>
    <row r="30" spans="1:15" x14ac:dyDescent="0.25">
      <c r="A30" s="12"/>
      <c r="B30" s="88" t="s">
        <v>28</v>
      </c>
      <c r="C30" s="89"/>
      <c r="D30" s="11">
        <f>E30*12</f>
        <v>72000</v>
      </c>
      <c r="E30" s="11">
        <f>ROUND((IF(E12-(E24+E27+E28+E29)&lt;12000,E12-(E24+E27+E28+E29),12000))/2,0)</f>
        <v>6000</v>
      </c>
      <c r="F30" s="4"/>
      <c r="G30" s="35">
        <v>500001</v>
      </c>
      <c r="H30" s="36">
        <f>IF($J$24&lt;G30,0,IF($J$24&gt;1000000,1000000,$J$24))</f>
        <v>1000000</v>
      </c>
      <c r="I30" s="51">
        <v>20</v>
      </c>
      <c r="J30" s="37">
        <f>IF(((H30-G30)*20%&gt;0),(H30-G30)*20%,0)</f>
        <v>99999.8</v>
      </c>
      <c r="L30" s="35">
        <v>750001</v>
      </c>
      <c r="M30" s="36">
        <f>IF($J$13&lt;L30,0,IF($J$13&gt;1000000,1000000,$J$13))</f>
        <v>1000000</v>
      </c>
      <c r="N30" s="50">
        <v>15</v>
      </c>
      <c r="O30" s="37">
        <f>IF((($M30-$L30)*15%&gt;0),($M30-$L30)*15%,0)</f>
        <v>37499.85</v>
      </c>
    </row>
    <row r="31" spans="1:15" x14ac:dyDescent="0.25">
      <c r="A31" s="12"/>
      <c r="B31" s="88" t="s">
        <v>29</v>
      </c>
      <c r="C31" s="89"/>
      <c r="D31" s="11">
        <f>E31*12</f>
        <v>72000</v>
      </c>
      <c r="E31" s="11">
        <f>E30</f>
        <v>6000</v>
      </c>
      <c r="F31" s="4"/>
      <c r="G31" s="35">
        <v>1000001</v>
      </c>
      <c r="H31" s="36">
        <f>IF($J$24&lt;G31,0,$J$24)</f>
        <v>1064948</v>
      </c>
      <c r="I31" s="51">
        <v>30</v>
      </c>
      <c r="J31" s="37">
        <f>IF(((H31-G31)*30%&gt;0),(H31-G31)*30%,0)</f>
        <v>19484.099999999999</v>
      </c>
      <c r="K31" s="47"/>
      <c r="L31" s="35">
        <v>1000001</v>
      </c>
      <c r="M31" s="36">
        <f>IF($J$13&lt;L31,0,IF($J$13&gt;1250000,1250000,$J$13))</f>
        <v>1250000</v>
      </c>
      <c r="N31" s="50">
        <v>20</v>
      </c>
      <c r="O31" s="37">
        <f>IF((($M31-$L31)*20%&gt;0),($M31-$L31)*20%,0)</f>
        <v>49999.8</v>
      </c>
    </row>
    <row r="32" spans="1:15" x14ac:dyDescent="0.25">
      <c r="A32" s="12"/>
      <c r="B32" s="88" t="s">
        <v>42</v>
      </c>
      <c r="C32" s="89"/>
      <c r="D32" s="11">
        <f>E32*12</f>
        <v>703308</v>
      </c>
      <c r="E32" s="11">
        <f>IF(IF(E12-(E24+E27+E28+E29)-E30&gt;0,E12-(E24+E27+E28+E29)-E30-E31,0)&lt;0,0,IF(E12-(E24+E27+E28+E29)-E30&gt;0,E12-(E24+E27+E28+E29)-E30-E31,0))</f>
        <v>58609</v>
      </c>
      <c r="F32" s="4"/>
      <c r="G32" s="61" t="s">
        <v>52</v>
      </c>
      <c r="H32" s="62"/>
      <c r="I32" s="63"/>
      <c r="J32" s="37">
        <f>SUM(J28:J31)</f>
        <v>131983.9</v>
      </c>
      <c r="L32" s="35">
        <v>1250001</v>
      </c>
      <c r="M32" s="36">
        <f>IF($J$13&lt;L32,0,IF($J$13&gt;1500000,1500000,$J$13))</f>
        <v>1500000</v>
      </c>
      <c r="N32" s="50">
        <v>25</v>
      </c>
      <c r="O32" s="37">
        <f>IF((($M32-$L32)*25%&gt;0),($M32-$L32)*25%,0)</f>
        <v>62499.75</v>
      </c>
    </row>
    <row r="33" spans="1:15" x14ac:dyDescent="0.25">
      <c r="A33" s="12"/>
      <c r="B33" s="84" t="s">
        <v>31</v>
      </c>
      <c r="C33" s="85"/>
      <c r="D33" s="15">
        <f>SUM(D27:D32)</f>
        <v>1519308</v>
      </c>
      <c r="E33" s="15">
        <f>SUM(E27:E32)</f>
        <v>126609</v>
      </c>
      <c r="F33" s="4"/>
      <c r="G33" s="61" t="s">
        <v>68</v>
      </c>
      <c r="H33" s="62"/>
      <c r="I33" s="63"/>
      <c r="J33" s="37">
        <f>IF(J24&gt;50000000,J32*37%,IF((J24&gt;20000000)*AND(J24&lt;50000000),J32*25%,IF((J24&gt;10000000)*AND(J24&lt;20000000),J32*15%,IF((J24&gt;5000000)*AND(J24&lt;10000000),J32*10%,0))))</f>
        <v>0</v>
      </c>
      <c r="L33" s="35">
        <v>1500001</v>
      </c>
      <c r="M33" s="36">
        <f>IF($J$13&lt;L33,0,$J$13)</f>
        <v>1519308</v>
      </c>
      <c r="N33" s="50">
        <v>30</v>
      </c>
      <c r="O33" s="37">
        <f>IF((($M33-$L33)*30%&gt;0),($M33-$L33)*30%,0)</f>
        <v>5792.0999999999995</v>
      </c>
    </row>
    <row r="34" spans="1:15" x14ac:dyDescent="0.25">
      <c r="A34" s="12"/>
      <c r="B34" s="88"/>
      <c r="C34" s="89"/>
      <c r="D34" s="16"/>
      <c r="E34" s="16"/>
      <c r="F34" s="4"/>
      <c r="G34" s="61" t="s">
        <v>69</v>
      </c>
      <c r="H34" s="62"/>
      <c r="I34" s="63"/>
      <c r="J34" s="37">
        <f>J32+J33</f>
        <v>131983.9</v>
      </c>
      <c r="L34" s="61" t="s">
        <v>52</v>
      </c>
      <c r="M34" s="62"/>
      <c r="N34" s="63"/>
      <c r="O34" s="37">
        <f>SUM(O27:O33)</f>
        <v>193291.4</v>
      </c>
    </row>
    <row r="35" spans="1:15" x14ac:dyDescent="0.25">
      <c r="A35" s="12">
        <v>5</v>
      </c>
      <c r="B35" s="86" t="s">
        <v>32</v>
      </c>
      <c r="C35" s="87"/>
      <c r="D35" s="16"/>
      <c r="E35" s="16"/>
      <c r="G35" s="64" t="s">
        <v>53</v>
      </c>
      <c r="H35" s="65"/>
      <c r="I35" s="66"/>
      <c r="J35" s="37">
        <f>ROUND(J34*4%,0)</f>
        <v>5279</v>
      </c>
      <c r="L35" s="61" t="s">
        <v>68</v>
      </c>
      <c r="M35" s="62"/>
      <c r="N35" s="63"/>
      <c r="O35" s="37">
        <f>IF(J13&gt;50000000,O34*37%,IF((J13&gt;20000000)*AND(J13&lt;50000000),O34*25%,IF((J13&gt;10000000)*AND(J13&lt;20000000),O34*15%,IF((J13&gt;5000000)*AND(J13&lt;10000000),O34*10%,0))))</f>
        <v>0</v>
      </c>
    </row>
    <row r="36" spans="1:15" x14ac:dyDescent="0.25">
      <c r="A36" s="12"/>
      <c r="B36" s="88" t="s">
        <v>33</v>
      </c>
      <c r="C36" s="89"/>
      <c r="D36" s="11">
        <f t="shared" ref="D36:D40" si="0">+E36*12</f>
        <v>57600</v>
      </c>
      <c r="E36" s="11">
        <f>+E21</f>
        <v>4800</v>
      </c>
      <c r="G36" s="90" t="s">
        <v>54</v>
      </c>
      <c r="H36" s="91"/>
      <c r="I36" s="92"/>
      <c r="J36" s="38">
        <f>J34+J35</f>
        <v>137262.9</v>
      </c>
      <c r="L36" s="61" t="s">
        <v>69</v>
      </c>
      <c r="M36" s="62"/>
      <c r="N36" s="63"/>
      <c r="O36" s="37">
        <f>O34+O35</f>
        <v>193291.4</v>
      </c>
    </row>
    <row r="37" spans="1:15" ht="15.75" x14ac:dyDescent="0.3">
      <c r="A37" s="12"/>
      <c r="B37" s="88" t="s">
        <v>34</v>
      </c>
      <c r="C37" s="89"/>
      <c r="D37" s="11">
        <f t="shared" si="0"/>
        <v>0</v>
      </c>
      <c r="E37" s="11">
        <f>IF(E23&lt;&gt;0,ROUND(E33*0.75%,0),0)</f>
        <v>0</v>
      </c>
      <c r="F37" s="4"/>
      <c r="G37" s="78" t="s">
        <v>55</v>
      </c>
      <c r="H37" s="79"/>
      <c r="I37" s="80"/>
      <c r="J37" s="39">
        <f>ROUND(J36/12,0)</f>
        <v>11439</v>
      </c>
      <c r="L37" s="64" t="s">
        <v>53</v>
      </c>
      <c r="M37" s="65"/>
      <c r="N37" s="66"/>
      <c r="O37" s="37">
        <f>ROUND(O36*4%,0)</f>
        <v>7732</v>
      </c>
    </row>
    <row r="38" spans="1:15" ht="16.5" thickBot="1" x14ac:dyDescent="0.35">
      <c r="A38" s="12"/>
      <c r="B38" s="88" t="s">
        <v>35</v>
      </c>
      <c r="C38" s="89"/>
      <c r="D38" s="11">
        <f t="shared" si="0"/>
        <v>2400</v>
      </c>
      <c r="E38" s="11">
        <f>IF(E33&gt;20000,200,IF(AND(E33&gt;15000,E33&lt;20001),150,0))</f>
        <v>200</v>
      </c>
      <c r="F38" s="4"/>
      <c r="G38" s="81" t="s">
        <v>56</v>
      </c>
      <c r="H38" s="82"/>
      <c r="I38" s="83"/>
      <c r="J38" s="40">
        <f>E44-J37</f>
        <v>110145</v>
      </c>
      <c r="L38" s="90" t="s">
        <v>54</v>
      </c>
      <c r="M38" s="91"/>
      <c r="N38" s="92"/>
      <c r="O38" s="38">
        <f>O36+O37</f>
        <v>201023.4</v>
      </c>
    </row>
    <row r="39" spans="1:15" ht="15.75" x14ac:dyDescent="0.3">
      <c r="A39" s="12"/>
      <c r="B39" s="88" t="s">
        <v>36</v>
      </c>
      <c r="C39" s="89"/>
      <c r="D39" s="11">
        <f t="shared" si="0"/>
        <v>300</v>
      </c>
      <c r="E39" s="11">
        <f>IF(D12&gt;0,25,0)</f>
        <v>25</v>
      </c>
      <c r="F39" s="4"/>
      <c r="L39" s="78" t="s">
        <v>55</v>
      </c>
      <c r="M39" s="79"/>
      <c r="N39" s="80"/>
      <c r="O39" s="39">
        <f>ROUND(O38/12,0)</f>
        <v>16752</v>
      </c>
    </row>
    <row r="40" spans="1:15" ht="16.5" thickBot="1" x14ac:dyDescent="0.35">
      <c r="A40" s="12"/>
      <c r="B40" s="88" t="s">
        <v>38</v>
      </c>
      <c r="C40" s="89"/>
      <c r="D40" s="11">
        <f t="shared" si="0"/>
        <v>0</v>
      </c>
      <c r="E40" s="11">
        <v>0</v>
      </c>
      <c r="F40" s="4"/>
      <c r="L40" s="81" t="s">
        <v>56</v>
      </c>
      <c r="M40" s="82"/>
      <c r="N40" s="83"/>
      <c r="O40" s="40">
        <f>E44-O39</f>
        <v>104832</v>
      </c>
    </row>
    <row r="41" spans="1:15" x14ac:dyDescent="0.25">
      <c r="A41" s="12"/>
      <c r="B41" s="18"/>
      <c r="C41" s="19"/>
      <c r="D41" s="11"/>
      <c r="E41" s="11"/>
      <c r="F41" s="4"/>
    </row>
    <row r="42" spans="1:15" x14ac:dyDescent="0.25">
      <c r="A42" s="12"/>
      <c r="B42" s="84" t="s">
        <v>39</v>
      </c>
      <c r="C42" s="85"/>
      <c r="D42" s="15">
        <f>SUM(D36:D41)</f>
        <v>60300</v>
      </c>
      <c r="E42" s="15">
        <f>SUM(E36:E40)</f>
        <v>5025</v>
      </c>
      <c r="F42" s="4"/>
    </row>
    <row r="43" spans="1:15" x14ac:dyDescent="0.25">
      <c r="A43" s="12"/>
      <c r="B43" s="88"/>
      <c r="C43" s="89"/>
      <c r="D43" s="11"/>
      <c r="E43" s="11"/>
    </row>
    <row r="44" spans="1:15" x14ac:dyDescent="0.25">
      <c r="A44" s="12">
        <v>6</v>
      </c>
      <c r="B44" s="84" t="s">
        <v>40</v>
      </c>
      <c r="C44" s="85"/>
      <c r="D44" s="15">
        <f>+E44*12</f>
        <v>1459008</v>
      </c>
      <c r="E44" s="15">
        <f>E33-E42</f>
        <v>121584</v>
      </c>
      <c r="F44" s="4"/>
    </row>
    <row r="46" spans="1:15" x14ac:dyDescent="0.25">
      <c r="F46" s="4"/>
    </row>
  </sheetData>
  <protectedRanges>
    <protectedRange sqref="D23 D15:D17 D12 E8:E10 C6:C10" name="Range1"/>
  </protectedRanges>
  <mergeCells count="69">
    <mergeCell ref="A10:B10"/>
    <mergeCell ref="B11:C11"/>
    <mergeCell ref="B12:C12"/>
    <mergeCell ref="B13:C13"/>
    <mergeCell ref="B14:C14"/>
    <mergeCell ref="A5:E5"/>
    <mergeCell ref="A9:B9"/>
    <mergeCell ref="A6:B6"/>
    <mergeCell ref="C6:E6"/>
    <mergeCell ref="A7:B7"/>
    <mergeCell ref="C7:E7"/>
    <mergeCell ref="A8:B8"/>
    <mergeCell ref="B15:C15"/>
    <mergeCell ref="B16:C16"/>
    <mergeCell ref="B17:C17"/>
    <mergeCell ref="B18:C18"/>
    <mergeCell ref="B19:C19"/>
    <mergeCell ref="B20:C20"/>
    <mergeCell ref="B22:C22"/>
    <mergeCell ref="B24:C24"/>
    <mergeCell ref="B25:C25"/>
    <mergeCell ref="B26:C26"/>
    <mergeCell ref="B21:C21"/>
    <mergeCell ref="B27:C27"/>
    <mergeCell ref="B31:C31"/>
    <mergeCell ref="B32:C32"/>
    <mergeCell ref="B42:C42"/>
    <mergeCell ref="B43:C43"/>
    <mergeCell ref="B34:C34"/>
    <mergeCell ref="B33:C33"/>
    <mergeCell ref="B28:C28"/>
    <mergeCell ref="B29:C29"/>
    <mergeCell ref="B30:C30"/>
    <mergeCell ref="L39:N39"/>
    <mergeCell ref="L40:N40"/>
    <mergeCell ref="B44:C44"/>
    <mergeCell ref="B35:C35"/>
    <mergeCell ref="B36:C36"/>
    <mergeCell ref="B37:C37"/>
    <mergeCell ref="B38:C38"/>
    <mergeCell ref="B39:C39"/>
    <mergeCell ref="B40:C40"/>
    <mergeCell ref="G36:I36"/>
    <mergeCell ref="G37:I37"/>
    <mergeCell ref="G38:I38"/>
    <mergeCell ref="L38:N38"/>
    <mergeCell ref="L37:N37"/>
    <mergeCell ref="L26:M26"/>
    <mergeCell ref="G24:I24"/>
    <mergeCell ref="L34:N34"/>
    <mergeCell ref="L35:N35"/>
    <mergeCell ref="L36:N36"/>
    <mergeCell ref="G35:I35"/>
    <mergeCell ref="G17:I17"/>
    <mergeCell ref="G16:I16"/>
    <mergeCell ref="G15:I15"/>
    <mergeCell ref="G14:I14"/>
    <mergeCell ref="G23:I23"/>
    <mergeCell ref="G22:I22"/>
    <mergeCell ref="G21:I21"/>
    <mergeCell ref="G20:I20"/>
    <mergeCell ref="G18:I18"/>
    <mergeCell ref="G27:H27"/>
    <mergeCell ref="G19:I19"/>
    <mergeCell ref="G12:I12"/>
    <mergeCell ref="G32:I32"/>
    <mergeCell ref="G33:I33"/>
    <mergeCell ref="G34:I34"/>
    <mergeCell ref="G13:I13"/>
  </mergeCells>
  <dataValidations count="3">
    <dataValidation type="whole" allowBlank="1" showInputMessage="1" showErrorMessage="1" error="Should not exceed Rs. 7200/- PA" promptTitle="Hostel Expenditure for Children" prompt="Need to enter Rs. 3600/- PA per child or Rs. 7200/- per 2 children" sqref="D16" xr:uid="{00000000-0002-0000-0000-000000000000}">
      <formula1>0</formula1>
      <formula2>7200</formula2>
    </dataValidation>
    <dataValidation type="whole" allowBlank="1" showInputMessage="1" showErrorMessage="1" error="Should not exceed Rs 1200/- PA per child (Upto 2 children)" promptTitle="Children Education Allowance" prompt="Need to enter Rs. 1200/- PA per Child or 2400/- PA per 2 children" sqref="D15" xr:uid="{00000000-0002-0000-0000-000001000000}">
      <formula1>0</formula1>
      <formula2>2400</formula2>
    </dataValidation>
    <dataValidation operator="lessThan" allowBlank="1" showInputMessage="1" showErrorMessage="1" promptTitle="NPS" prompt="Minimum Rs 6000/-PA  and Maximum 10% of Basic salary" sqref="D23" xr:uid="{00000000-0002-0000-0000-000002000000}"/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"/>
  <sheetViews>
    <sheetView topLeftCell="A34" workbookViewId="0">
      <selection activeCell="E53" sqref="E53"/>
    </sheetView>
  </sheetViews>
  <sheetFormatPr defaultColWidth="9.140625" defaultRowHeight="15" x14ac:dyDescent="0.25"/>
  <cols>
    <col min="1" max="1" width="9.140625" style="3"/>
    <col min="2" max="2" width="6" style="3" customWidth="1"/>
    <col min="3" max="3" width="44.85546875" style="3" customWidth="1"/>
    <col min="4" max="4" width="13.7109375" style="3" bestFit="1" customWidth="1"/>
    <col min="5" max="5" width="11.42578125" style="3" bestFit="1" customWidth="1"/>
    <col min="6" max="6" width="10" style="3" bestFit="1" customWidth="1"/>
    <col min="7" max="16384" width="9.140625" style="3"/>
  </cols>
  <sheetData>
    <row r="1" spans="1:5" x14ac:dyDescent="0.25">
      <c r="A1" s="24"/>
      <c r="B1" s="24"/>
      <c r="C1" s="24"/>
      <c r="D1" s="25"/>
      <c r="E1" s="25"/>
    </row>
    <row r="2" spans="1:5" x14ac:dyDescent="0.25">
      <c r="A2" s="24"/>
      <c r="B2" s="24"/>
      <c r="C2" s="24"/>
      <c r="D2" s="25"/>
      <c r="E2" s="25"/>
    </row>
    <row r="3" spans="1:5" x14ac:dyDescent="0.25">
      <c r="A3" s="24"/>
      <c r="B3" s="24"/>
      <c r="C3" s="24"/>
      <c r="D3" s="25"/>
      <c r="E3" s="25"/>
    </row>
    <row r="4" spans="1:5" x14ac:dyDescent="0.25">
      <c r="A4" s="24"/>
      <c r="B4" s="24"/>
      <c r="C4" s="24"/>
      <c r="D4" s="25"/>
      <c r="E4" s="25"/>
    </row>
    <row r="5" spans="1:5" ht="18.75" x14ac:dyDescent="0.3">
      <c r="A5" s="26" t="s">
        <v>0</v>
      </c>
      <c r="B5" s="25"/>
      <c r="C5" s="25"/>
      <c r="D5" s="25"/>
      <c r="E5" s="25"/>
    </row>
    <row r="6" spans="1:5" x14ac:dyDescent="0.25">
      <c r="A6" s="94" t="s">
        <v>1</v>
      </c>
      <c r="B6" s="94"/>
      <c r="C6" s="106"/>
      <c r="D6" s="107"/>
      <c r="E6" s="108"/>
    </row>
    <row r="7" spans="1:5" x14ac:dyDescent="0.25">
      <c r="A7" s="94" t="s">
        <v>2</v>
      </c>
      <c r="B7" s="94"/>
      <c r="C7" s="109" t="s">
        <v>43</v>
      </c>
      <c r="D7" s="110"/>
      <c r="E7" s="111"/>
    </row>
    <row r="8" spans="1:5" x14ac:dyDescent="0.25">
      <c r="A8" s="94" t="s">
        <v>3</v>
      </c>
      <c r="B8" s="94"/>
      <c r="C8" s="8"/>
      <c r="D8" s="20" t="s">
        <v>4</v>
      </c>
      <c r="E8" s="10"/>
    </row>
    <row r="9" spans="1:5" x14ac:dyDescent="0.25">
      <c r="A9" s="94" t="s">
        <v>5</v>
      </c>
      <c r="B9" s="94"/>
      <c r="C9" s="7"/>
      <c r="D9" s="20" t="s">
        <v>6</v>
      </c>
      <c r="E9" s="10"/>
    </row>
    <row r="10" spans="1:5" x14ac:dyDescent="0.25">
      <c r="A10" s="94" t="s">
        <v>7</v>
      </c>
      <c r="B10" s="94"/>
      <c r="C10" s="11"/>
      <c r="D10" s="20" t="s">
        <v>8</v>
      </c>
      <c r="E10" s="10"/>
    </row>
    <row r="11" spans="1:5" x14ac:dyDescent="0.25">
      <c r="A11" s="27" t="s">
        <v>9</v>
      </c>
      <c r="B11" s="101" t="s">
        <v>10</v>
      </c>
      <c r="C11" s="102"/>
      <c r="D11" s="13" t="s">
        <v>11</v>
      </c>
      <c r="E11" s="13" t="s">
        <v>12</v>
      </c>
    </row>
    <row r="12" spans="1:5" x14ac:dyDescent="0.25">
      <c r="A12" s="12">
        <v>1</v>
      </c>
      <c r="B12" s="84" t="s">
        <v>13</v>
      </c>
      <c r="C12" s="85"/>
      <c r="D12" s="14">
        <v>2500000</v>
      </c>
      <c r="E12" s="15">
        <f>ROUND(D12/12,0)</f>
        <v>208333</v>
      </c>
    </row>
    <row r="13" spans="1:5" x14ac:dyDescent="0.25">
      <c r="A13" s="12"/>
      <c r="B13" s="103"/>
      <c r="C13" s="104"/>
      <c r="D13" s="16"/>
      <c r="E13" s="11"/>
    </row>
    <row r="14" spans="1:5" x14ac:dyDescent="0.25">
      <c r="A14" s="12">
        <v>2</v>
      </c>
      <c r="B14" s="86" t="s">
        <v>41</v>
      </c>
      <c r="C14" s="87"/>
      <c r="D14" s="16"/>
      <c r="E14" s="11"/>
    </row>
    <row r="15" spans="1:5" x14ac:dyDescent="0.25">
      <c r="A15" s="12"/>
      <c r="B15" s="88" t="s">
        <v>14</v>
      </c>
      <c r="C15" s="89"/>
      <c r="D15" s="15">
        <v>0</v>
      </c>
      <c r="E15" s="15">
        <f>ROUND(D15/12,0)</f>
        <v>0</v>
      </c>
    </row>
    <row r="16" spans="1:5" x14ac:dyDescent="0.25">
      <c r="A16" s="12"/>
      <c r="B16" s="88" t="s">
        <v>15</v>
      </c>
      <c r="C16" s="89"/>
      <c r="D16" s="15">
        <v>0</v>
      </c>
      <c r="E16" s="15">
        <f>ROUND(D16/12,0)</f>
        <v>0</v>
      </c>
    </row>
    <row r="17" spans="1:6" x14ac:dyDescent="0.25">
      <c r="A17" s="12"/>
      <c r="B17" s="88" t="s">
        <v>16</v>
      </c>
      <c r="C17" s="89"/>
      <c r="D17" s="15">
        <v>0</v>
      </c>
      <c r="E17" s="15">
        <f>ROUND(D17/12,0)</f>
        <v>0</v>
      </c>
    </row>
    <row r="18" spans="1:6" x14ac:dyDescent="0.25">
      <c r="A18" s="12"/>
      <c r="B18" s="84" t="s">
        <v>17</v>
      </c>
      <c r="C18" s="85"/>
      <c r="D18" s="17">
        <f>SUM(D15:D17)</f>
        <v>0</v>
      </c>
      <c r="E18" s="17">
        <f>SUM(E15:E17)</f>
        <v>0</v>
      </c>
    </row>
    <row r="19" spans="1:6" x14ac:dyDescent="0.25">
      <c r="A19" s="12"/>
      <c r="B19" s="88"/>
      <c r="C19" s="89"/>
      <c r="D19" s="17"/>
      <c r="E19" s="15"/>
    </row>
    <row r="20" spans="1:6" x14ac:dyDescent="0.25">
      <c r="A20" s="12">
        <v>3</v>
      </c>
      <c r="B20" s="86" t="s">
        <v>18</v>
      </c>
      <c r="C20" s="87"/>
      <c r="D20" s="17"/>
      <c r="E20" s="15"/>
    </row>
    <row r="21" spans="1:6" x14ac:dyDescent="0.25">
      <c r="A21" s="12"/>
      <c r="B21" s="88" t="s">
        <v>19</v>
      </c>
      <c r="C21" s="89"/>
      <c r="D21" s="11">
        <f>+E21*12</f>
        <v>90000</v>
      </c>
      <c r="E21" s="11">
        <f>MIN(ROUND((E28)*0.12,0))</f>
        <v>7500</v>
      </c>
      <c r="F21" s="4"/>
    </row>
    <row r="22" spans="1:6" x14ac:dyDescent="0.25">
      <c r="A22" s="12"/>
      <c r="B22" s="88" t="s">
        <v>20</v>
      </c>
      <c r="C22" s="89"/>
      <c r="D22" s="11">
        <f>+E22*12</f>
        <v>36072</v>
      </c>
      <c r="E22" s="11">
        <f>ROUND(E12*0.3*0.0481,0)</f>
        <v>3006</v>
      </c>
      <c r="F22" s="4"/>
    </row>
    <row r="23" spans="1:6" x14ac:dyDescent="0.25">
      <c r="A23" s="12"/>
      <c r="B23" s="21" t="s">
        <v>21</v>
      </c>
      <c r="C23" s="22"/>
      <c r="D23" s="15">
        <v>0</v>
      </c>
      <c r="E23" s="15">
        <f>ROUND(D23/12,0)</f>
        <v>0</v>
      </c>
      <c r="F23" s="4"/>
    </row>
    <row r="24" spans="1:6" x14ac:dyDescent="0.25">
      <c r="A24" s="12"/>
      <c r="B24" s="21" t="s">
        <v>22</v>
      </c>
      <c r="C24" s="22"/>
      <c r="D24" s="11">
        <f>E24*12</f>
        <v>0</v>
      </c>
      <c r="E24" s="15">
        <f>ROUND(IF(E12&lt;=23134,(E12-(E21+E22))*4.75/104.75,0),0)</f>
        <v>0</v>
      </c>
      <c r="F24" s="4"/>
    </row>
    <row r="25" spans="1:6" x14ac:dyDescent="0.25">
      <c r="A25" s="12"/>
      <c r="B25" s="84" t="s">
        <v>23</v>
      </c>
      <c r="C25" s="85"/>
      <c r="D25" s="17">
        <f>SUM(D21:D24)</f>
        <v>126072</v>
      </c>
      <c r="E25" s="17">
        <f>SUM(E21:E24)</f>
        <v>10506</v>
      </c>
      <c r="F25" s="4"/>
    </row>
    <row r="26" spans="1:6" x14ac:dyDescent="0.25">
      <c r="A26" s="12"/>
      <c r="B26" s="88"/>
      <c r="C26" s="89"/>
      <c r="D26" s="17"/>
      <c r="E26" s="15"/>
    </row>
    <row r="27" spans="1:6" x14ac:dyDescent="0.25">
      <c r="A27" s="12">
        <v>4</v>
      </c>
      <c r="B27" s="86" t="s">
        <v>24</v>
      </c>
      <c r="C27" s="87"/>
      <c r="D27" s="16"/>
      <c r="E27" s="16"/>
    </row>
    <row r="28" spans="1:6" x14ac:dyDescent="0.25">
      <c r="A28" s="12"/>
      <c r="B28" s="88" t="s">
        <v>25</v>
      </c>
      <c r="C28" s="89"/>
      <c r="D28" s="11">
        <f>+E28*12</f>
        <v>750000</v>
      </c>
      <c r="E28" s="11">
        <f>ROUND(E12*0.3,0)</f>
        <v>62500</v>
      </c>
      <c r="F28" s="4"/>
    </row>
    <row r="29" spans="1:6" x14ac:dyDescent="0.25">
      <c r="A29" s="12"/>
      <c r="B29" s="88" t="s">
        <v>26</v>
      </c>
      <c r="C29" s="89"/>
      <c r="D29" s="11">
        <f>+E29*12</f>
        <v>300000</v>
      </c>
      <c r="E29" s="11">
        <f>ROUND(E28*40/100,0)</f>
        <v>25000</v>
      </c>
      <c r="F29" s="4"/>
    </row>
    <row r="30" spans="1:6" x14ac:dyDescent="0.25">
      <c r="A30" s="12"/>
      <c r="B30" s="88" t="s">
        <v>27</v>
      </c>
      <c r="C30" s="89"/>
      <c r="D30" s="11">
        <f>E30*12</f>
        <v>0</v>
      </c>
      <c r="E30" s="11">
        <f>MIN(IF(E28&lt;=21000,ROUND(E28*8.33%,0),0),584)</f>
        <v>0</v>
      </c>
      <c r="F30" s="4"/>
    </row>
    <row r="31" spans="1:6" x14ac:dyDescent="0.25">
      <c r="A31" s="12"/>
      <c r="B31" s="88" t="s">
        <v>28</v>
      </c>
      <c r="C31" s="89"/>
      <c r="D31" s="11">
        <f>E31*12</f>
        <v>72000</v>
      </c>
      <c r="E31" s="11">
        <f>ROUND((IF(E12-(E25+E28+E29+E30)&lt;12000,E12-(E25+E28+E29+E30),12000))/2,0)</f>
        <v>6000</v>
      </c>
      <c r="F31" s="4"/>
    </row>
    <row r="32" spans="1:6" x14ac:dyDescent="0.25">
      <c r="A32" s="12"/>
      <c r="B32" s="88" t="s">
        <v>29</v>
      </c>
      <c r="C32" s="89"/>
      <c r="D32" s="11">
        <f>E32*12</f>
        <v>72000</v>
      </c>
      <c r="E32" s="11">
        <f>E31</f>
        <v>6000</v>
      </c>
      <c r="F32" s="4"/>
    </row>
    <row r="33" spans="1:6" x14ac:dyDescent="0.25">
      <c r="A33" s="12"/>
      <c r="B33" s="88" t="s">
        <v>30</v>
      </c>
      <c r="C33" s="89"/>
      <c r="D33" s="11">
        <f>E33*12</f>
        <v>1179924</v>
      </c>
      <c r="E33" s="11">
        <f>IF(E12-(E25+E28+E29+E30)-E31&gt;0,E12-(E25+E28+E29+E30)-E31-E32,0)</f>
        <v>98327</v>
      </c>
      <c r="F33" s="4"/>
    </row>
    <row r="34" spans="1:6" x14ac:dyDescent="0.25">
      <c r="A34" s="12"/>
      <c r="B34" s="84" t="s">
        <v>31</v>
      </c>
      <c r="C34" s="85"/>
      <c r="D34" s="15">
        <f>SUM(D28:D33)</f>
        <v>2373924</v>
      </c>
      <c r="E34" s="15">
        <f>SUM(E28:E33)</f>
        <v>197827</v>
      </c>
      <c r="F34" s="4"/>
    </row>
    <row r="35" spans="1:6" x14ac:dyDescent="0.25">
      <c r="A35" s="12"/>
      <c r="B35" s="88"/>
      <c r="C35" s="89"/>
      <c r="D35" s="16"/>
      <c r="E35" s="16"/>
    </row>
    <row r="36" spans="1:6" x14ac:dyDescent="0.25">
      <c r="A36" s="12">
        <v>5</v>
      </c>
      <c r="B36" s="86" t="s">
        <v>32</v>
      </c>
      <c r="C36" s="87"/>
      <c r="D36" s="16"/>
      <c r="E36" s="16"/>
    </row>
    <row r="37" spans="1:6" x14ac:dyDescent="0.25">
      <c r="A37" s="12"/>
      <c r="B37" s="88" t="s">
        <v>33</v>
      </c>
      <c r="C37" s="89"/>
      <c r="D37" s="11">
        <f t="shared" ref="D37:D42" si="0">+E37*12</f>
        <v>90000</v>
      </c>
      <c r="E37" s="11">
        <f>+E21</f>
        <v>7500</v>
      </c>
      <c r="F37" s="4"/>
    </row>
    <row r="38" spans="1:6" x14ac:dyDescent="0.25">
      <c r="A38" s="12"/>
      <c r="B38" s="88" t="s">
        <v>34</v>
      </c>
      <c r="C38" s="89"/>
      <c r="D38" s="11">
        <f t="shared" si="0"/>
        <v>0</v>
      </c>
      <c r="E38" s="11">
        <f>IF(E24&lt;&gt;0,ROUND(E34*1.75%,0),0)</f>
        <v>0</v>
      </c>
      <c r="F38" s="4"/>
    </row>
    <row r="39" spans="1:6" x14ac:dyDescent="0.25">
      <c r="A39" s="12"/>
      <c r="B39" s="88" t="s">
        <v>35</v>
      </c>
      <c r="C39" s="89"/>
      <c r="D39" s="11">
        <f t="shared" si="0"/>
        <v>2400</v>
      </c>
      <c r="E39" s="11">
        <f>IF(E34&gt;20000,200,IF(AND(E34&gt;15000,E34&lt;20001),150,0))</f>
        <v>200</v>
      </c>
      <c r="F39" s="4"/>
    </row>
    <row r="40" spans="1:6" x14ac:dyDescent="0.25">
      <c r="A40" s="12"/>
      <c r="B40" s="88" t="s">
        <v>36</v>
      </c>
      <c r="C40" s="89"/>
      <c r="D40" s="11">
        <f t="shared" si="0"/>
        <v>300</v>
      </c>
      <c r="E40" s="11">
        <f>IF(D12&gt;0,25,0)</f>
        <v>25</v>
      </c>
      <c r="F40" s="4"/>
    </row>
    <row r="41" spans="1:6" x14ac:dyDescent="0.25">
      <c r="A41" s="12"/>
      <c r="B41" s="21" t="s">
        <v>37</v>
      </c>
      <c r="C41" s="22"/>
      <c r="D41" s="11">
        <f t="shared" si="0"/>
        <v>0</v>
      </c>
      <c r="E41" s="11">
        <f>E23</f>
        <v>0</v>
      </c>
      <c r="F41" s="4"/>
    </row>
    <row r="42" spans="1:6" x14ac:dyDescent="0.25">
      <c r="A42" s="12"/>
      <c r="B42" s="88" t="s">
        <v>38</v>
      </c>
      <c r="C42" s="89"/>
      <c r="D42" s="11">
        <f t="shared" si="0"/>
        <v>0</v>
      </c>
      <c r="E42" s="11">
        <v>0</v>
      </c>
      <c r="F42" s="4"/>
    </row>
    <row r="43" spans="1:6" x14ac:dyDescent="0.25">
      <c r="A43" s="12"/>
      <c r="B43" s="21"/>
      <c r="C43" s="22"/>
      <c r="D43" s="11"/>
      <c r="E43" s="11"/>
    </row>
    <row r="44" spans="1:6" x14ac:dyDescent="0.25">
      <c r="A44" s="12"/>
      <c r="B44" s="84" t="s">
        <v>39</v>
      </c>
      <c r="C44" s="85"/>
      <c r="D44" s="15">
        <f>SUM(D37:D43)</f>
        <v>92700</v>
      </c>
      <c r="E44" s="15">
        <f>SUM(E37:E42)</f>
        <v>7725</v>
      </c>
      <c r="F44" s="4"/>
    </row>
    <row r="45" spans="1:6" x14ac:dyDescent="0.25">
      <c r="A45" s="12"/>
      <c r="B45" s="88"/>
      <c r="C45" s="89"/>
      <c r="D45" s="11"/>
      <c r="E45" s="11"/>
    </row>
    <row r="46" spans="1:6" x14ac:dyDescent="0.25">
      <c r="A46" s="12">
        <v>6</v>
      </c>
      <c r="B46" s="84" t="s">
        <v>40</v>
      </c>
      <c r="C46" s="85"/>
      <c r="D46" s="15">
        <f>+E46*12</f>
        <v>2281224</v>
      </c>
      <c r="E46" s="15">
        <f>E34-E44</f>
        <v>190102</v>
      </c>
      <c r="F46" s="4"/>
    </row>
    <row r="47" spans="1:6" x14ac:dyDescent="0.25">
      <c r="A47" s="23"/>
      <c r="B47" s="23"/>
      <c r="C47" s="23"/>
      <c r="D47" s="23"/>
      <c r="E47" s="23"/>
    </row>
    <row r="48" spans="1:6" x14ac:dyDescent="0.25">
      <c r="A48" s="23"/>
      <c r="B48" s="23"/>
      <c r="C48" s="23"/>
      <c r="D48" s="23"/>
      <c r="E48" s="23"/>
    </row>
    <row r="49" spans="1:5" x14ac:dyDescent="0.25">
      <c r="A49" s="105" t="s">
        <v>44</v>
      </c>
      <c r="B49" s="105"/>
      <c r="C49" s="105"/>
      <c r="D49" s="105"/>
      <c r="E49" s="105"/>
    </row>
  </sheetData>
  <protectedRanges>
    <protectedRange sqref="C6:C10 D23:D24 D15:D17 D12 E8:E10" name="Range1"/>
  </protectedRanges>
  <mergeCells count="40">
    <mergeCell ref="B44:C44"/>
    <mergeCell ref="B45:C45"/>
    <mergeCell ref="B46:C46"/>
    <mergeCell ref="B36:C36"/>
    <mergeCell ref="B37:C37"/>
    <mergeCell ref="B38:C38"/>
    <mergeCell ref="B39:C39"/>
    <mergeCell ref="B40:C40"/>
    <mergeCell ref="B42:C42"/>
    <mergeCell ref="B18:C18"/>
    <mergeCell ref="B19:C19"/>
    <mergeCell ref="B20:C20"/>
    <mergeCell ref="B35:C35"/>
    <mergeCell ref="B22:C22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9:E49"/>
    <mergeCell ref="A9:B9"/>
    <mergeCell ref="A6:B6"/>
    <mergeCell ref="C6:E6"/>
    <mergeCell ref="A7:B7"/>
    <mergeCell ref="C7:E7"/>
    <mergeCell ref="A8:B8"/>
    <mergeCell ref="B21:C21"/>
    <mergeCell ref="A10:B10"/>
    <mergeCell ref="B11:C11"/>
    <mergeCell ref="B12:C12"/>
    <mergeCell ref="B13:C13"/>
    <mergeCell ref="B14:C14"/>
    <mergeCell ref="B15:C15"/>
    <mergeCell ref="B16:C16"/>
    <mergeCell ref="B17:C17"/>
  </mergeCells>
  <dataValidations count="4">
    <dataValidation operator="lessThan" allowBlank="1" showInputMessage="1" showErrorMessage="1" promptTitle="NPS" prompt="Minimum Rs 6000/-PA  and Maximum 10% of Basic salary" sqref="D24" xr:uid="{00000000-0002-0000-0100-000000000000}"/>
    <dataValidation type="whole" allowBlank="1" showInputMessage="1" showErrorMessage="1" error="Should not exceed Rs 1200/- PA per child (Upto 2 children)" promptTitle="Children Education Allowance" prompt="Need to enter Rs. 1200/- PA per Child or 2400/- PA per 2 children" sqref="D15" xr:uid="{00000000-0002-0000-0100-000001000000}">
      <formula1>0</formula1>
      <formula2>2400</formula2>
    </dataValidation>
    <dataValidation type="whole" allowBlank="1" showInputMessage="1" showErrorMessage="1" error="Should not exceed Rs. 7200/- PA" promptTitle="Hostel Expenditure for Children" prompt="Need to enter Rs. 3600/- PA per child or Rs. 7200/- per 2 children" sqref="D16" xr:uid="{00000000-0002-0000-0100-000002000000}">
      <formula1>0</formula1>
      <formula2>7200</formula2>
    </dataValidation>
    <dataValidation type="whole" operator="lessThan" allowBlank="1" showInputMessage="1" showErrorMessage="1" promptTitle="NPS" prompt="Minimum Rs 6000/-PA  and Maximum 10% of Basic salary" sqref="D23" xr:uid="{00000000-0002-0000-0100-000003000000}">
      <formula1>ROUND(D28*10%,0)+1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Comparision of tax regime</vt:lpstr>
      <vt:lpstr>C &amp;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Vijaya Rama Raju uddaraju</dc:creator>
  <cp:lastModifiedBy>Mohammad Waseemuddin</cp:lastModifiedBy>
  <cp:lastPrinted>2019-05-14T09:02:14Z</cp:lastPrinted>
  <dcterms:created xsi:type="dcterms:W3CDTF">2019-04-17T09:51:51Z</dcterms:created>
  <dcterms:modified xsi:type="dcterms:W3CDTF">2020-04-20T16:52:07Z</dcterms:modified>
</cp:coreProperties>
</file>