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orisnik\Desktop\OFIPP\Poslovni plan\"/>
    </mc:Choice>
  </mc:AlternateContent>
  <xr:revisionPtr revIDLastSave="0" documentId="13_ncr:1_{A0F3A9DE-74D0-4A8E-80BB-7C595C8D8D36}" xr6:coauthVersionLast="47" xr6:coauthVersionMax="47" xr10:uidLastSave="{00000000-0000-0000-0000-000000000000}"/>
  <bookViews>
    <workbookView xWindow="-108" yWindow="-108" windowWidth="23256" windowHeight="12720" tabRatio="778" activeTab="7" xr2:uid="{00000000-000D-0000-FFFF-FFFF00000000}"/>
  </bookViews>
  <sheets>
    <sheet name="Inv" sheetId="1" r:id="rId1"/>
    <sheet name="In + Am" sheetId="4" r:id="rId2"/>
    <sheet name="Namirnice" sheetId="15" r:id="rId3"/>
    <sheet name="Prihodi" sheetId="5" r:id="rId4"/>
    <sheet name="Kredit" sheetId="14" r:id="rId5"/>
    <sheet name="Rashodi" sheetId="6" r:id="rId6"/>
    <sheet name="TOBS" sheetId="9" r:id="rId7"/>
    <sheet name="RDG" sheetId="8" r:id="rId8"/>
    <sheet name="ET i EF" sheetId="11" r:id="rId9"/>
    <sheet name="Statistička Ocjena" sheetId="12" r:id="rId10"/>
    <sheet name="namirnice i izračun za suhe kol" sheetId="16" r:id="rId11"/>
    <sheet name="namirnice i izračun za torte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8" l="1"/>
  <c r="N6" i="8"/>
  <c r="N11" i="8"/>
  <c r="N3" i="8"/>
  <c r="D5" i="4" l="1"/>
  <c r="C5" i="9" l="1"/>
  <c r="K27" i="6" l="1"/>
  <c r="K31" i="6" s="1"/>
  <c r="E27" i="1"/>
  <c r="E26" i="1"/>
  <c r="K28" i="6"/>
  <c r="K29" i="6"/>
  <c r="K30" i="6"/>
  <c r="E23" i="6"/>
  <c r="B19" i="9"/>
  <c r="C19" i="9"/>
  <c r="B20" i="9"/>
  <c r="B18" i="9"/>
  <c r="B17" i="9"/>
  <c r="E25" i="6"/>
  <c r="E22" i="6"/>
  <c r="E24" i="6"/>
  <c r="F26" i="5"/>
  <c r="G26" i="5" s="1"/>
  <c r="E26" i="6" l="1"/>
  <c r="B10" i="8" s="1"/>
  <c r="C15" i="11" l="1"/>
  <c r="P18" i="11" s="1"/>
  <c r="G15" i="11" l="1"/>
  <c r="T18" i="11" s="1"/>
  <c r="E15" i="11"/>
  <c r="R18" i="11" s="1"/>
  <c r="H15" i="11"/>
  <c r="U18" i="11" s="1"/>
  <c r="J15" i="11"/>
  <c r="W18" i="11" s="1"/>
  <c r="L15" i="11"/>
  <c r="Y18" i="11" s="1"/>
  <c r="D15" i="11"/>
  <c r="Q18" i="11" s="1"/>
  <c r="F15" i="11"/>
  <c r="S18" i="11" s="1"/>
  <c r="I15" i="11"/>
  <c r="V18" i="11" s="1"/>
  <c r="K15" i="11"/>
  <c r="X18" i="11" s="1"/>
  <c r="H10" i="8"/>
  <c r="I10" i="8"/>
  <c r="J10" i="8"/>
  <c r="F10" i="8"/>
  <c r="G10" i="8"/>
  <c r="K10" i="8"/>
  <c r="D10" i="8"/>
  <c r="C10" i="8"/>
  <c r="E10" i="8"/>
  <c r="J5" i="4" l="1"/>
  <c r="E28" i="1"/>
  <c r="C4" i="9"/>
  <c r="C18" i="9" s="1"/>
  <c r="E29" i="1" l="1"/>
  <c r="C9" i="4" s="1"/>
  <c r="L5" i="4"/>
  <c r="C19" i="4"/>
  <c r="C13" i="14"/>
  <c r="C6" i="14" s="1"/>
  <c r="B20" i="14" s="1"/>
  <c r="C10" i="14"/>
  <c r="J9" i="4" l="1"/>
  <c r="C22" i="4" s="1"/>
  <c r="D9" i="4"/>
  <c r="C20" i="14"/>
  <c r="D20" i="14" s="1"/>
  <c r="I19" i="4"/>
  <c r="J19" i="4"/>
  <c r="J23" i="4" s="1"/>
  <c r="K19" i="4"/>
  <c r="K23" i="4" s="1"/>
  <c r="L19" i="4"/>
  <c r="L23" i="4" s="1"/>
  <c r="G19" i="4"/>
  <c r="H19" i="4"/>
  <c r="M19" i="4"/>
  <c r="M23" i="4" s="1"/>
  <c r="F19" i="4"/>
  <c r="N19" i="4"/>
  <c r="N23" i="4" s="1"/>
  <c r="E19" i="4"/>
  <c r="L9" i="4"/>
  <c r="O2" i="16"/>
  <c r="AG2" i="17"/>
  <c r="M2" i="17"/>
  <c r="W2" i="17" s="1"/>
  <c r="I3" i="17"/>
  <c r="O8" i="16"/>
  <c r="O6" i="16"/>
  <c r="B27" i="16"/>
  <c r="O19" i="4" l="1"/>
  <c r="F22" i="4"/>
  <c r="G22" i="4"/>
  <c r="H22" i="4"/>
  <c r="I22" i="4"/>
  <c r="I23" i="4" s="1"/>
  <c r="E22" i="4"/>
  <c r="AE41" i="17"/>
  <c r="AM39" i="17"/>
  <c r="AL39" i="17"/>
  <c r="AK39" i="17"/>
  <c r="AJ39" i="17"/>
  <c r="AI39" i="17"/>
  <c r="AH39" i="17"/>
  <c r="AG39" i="17"/>
  <c r="S39" i="17"/>
  <c r="AC39" i="17" s="1"/>
  <c r="R39" i="17"/>
  <c r="AB39" i="17" s="1"/>
  <c r="Q39" i="17"/>
  <c r="AA39" i="17" s="1"/>
  <c r="P39" i="17"/>
  <c r="Z39" i="17" s="1"/>
  <c r="O39" i="17"/>
  <c r="Y39" i="17" s="1"/>
  <c r="N39" i="17"/>
  <c r="X39" i="17" s="1"/>
  <c r="M39" i="17"/>
  <c r="W39" i="17" s="1"/>
  <c r="J39" i="17"/>
  <c r="AM38" i="17"/>
  <c r="AL38" i="17"/>
  <c r="AK38" i="17"/>
  <c r="AJ38" i="17"/>
  <c r="AI38" i="17"/>
  <c r="AH38" i="17"/>
  <c r="AG38" i="17"/>
  <c r="S38" i="17"/>
  <c r="AC38" i="17" s="1"/>
  <c r="R38" i="17"/>
  <c r="AB38" i="17" s="1"/>
  <c r="Q38" i="17"/>
  <c r="AA38" i="17" s="1"/>
  <c r="P38" i="17"/>
  <c r="Z38" i="17" s="1"/>
  <c r="O38" i="17"/>
  <c r="Y38" i="17" s="1"/>
  <c r="N38" i="17"/>
  <c r="X38" i="17" s="1"/>
  <c r="M38" i="17"/>
  <c r="W38" i="17" s="1"/>
  <c r="J38" i="17"/>
  <c r="AM37" i="17"/>
  <c r="AL37" i="17"/>
  <c r="AK37" i="17"/>
  <c r="AJ37" i="17"/>
  <c r="AI37" i="17"/>
  <c r="AH37" i="17"/>
  <c r="AG37" i="17"/>
  <c r="S37" i="17"/>
  <c r="AC37" i="17" s="1"/>
  <c r="R37" i="17"/>
  <c r="AB37" i="17" s="1"/>
  <c r="Q37" i="17"/>
  <c r="AA37" i="17" s="1"/>
  <c r="P37" i="17"/>
  <c r="Z37" i="17" s="1"/>
  <c r="O37" i="17"/>
  <c r="Y37" i="17" s="1"/>
  <c r="N37" i="17"/>
  <c r="X37" i="17" s="1"/>
  <c r="M37" i="17"/>
  <c r="J37" i="17"/>
  <c r="AM36" i="17"/>
  <c r="AL36" i="17"/>
  <c r="AK36" i="17"/>
  <c r="AJ36" i="17"/>
  <c r="AI36" i="17"/>
  <c r="AH36" i="17"/>
  <c r="AG36" i="17"/>
  <c r="S36" i="17"/>
  <c r="AC36" i="17" s="1"/>
  <c r="R36" i="17"/>
  <c r="AB36" i="17" s="1"/>
  <c r="Q36" i="17"/>
  <c r="AA36" i="17" s="1"/>
  <c r="P36" i="17"/>
  <c r="Z36" i="17" s="1"/>
  <c r="O36" i="17"/>
  <c r="Y36" i="17" s="1"/>
  <c r="N36" i="17"/>
  <c r="X36" i="17" s="1"/>
  <c r="M36" i="17"/>
  <c r="W36" i="17" s="1"/>
  <c r="J36" i="17"/>
  <c r="AM35" i="17"/>
  <c r="AL35" i="17"/>
  <c r="AK35" i="17"/>
  <c r="AJ35" i="17"/>
  <c r="AI35" i="17"/>
  <c r="AH35" i="17"/>
  <c r="AG35" i="17"/>
  <c r="S35" i="17"/>
  <c r="AC35" i="17" s="1"/>
  <c r="R35" i="17"/>
  <c r="AB35" i="17" s="1"/>
  <c r="Q35" i="17"/>
  <c r="AA35" i="17" s="1"/>
  <c r="P35" i="17"/>
  <c r="Z35" i="17" s="1"/>
  <c r="O35" i="17"/>
  <c r="Y35" i="17" s="1"/>
  <c r="N35" i="17"/>
  <c r="X35" i="17" s="1"/>
  <c r="M35" i="17"/>
  <c r="W35" i="17" s="1"/>
  <c r="J35" i="17"/>
  <c r="AM34" i="17"/>
  <c r="AL34" i="17"/>
  <c r="AK34" i="17"/>
  <c r="AJ34" i="17"/>
  <c r="AI34" i="17"/>
  <c r="AH34" i="17"/>
  <c r="AG34" i="17"/>
  <c r="S34" i="17"/>
  <c r="AC34" i="17" s="1"/>
  <c r="R34" i="17"/>
  <c r="AB34" i="17" s="1"/>
  <c r="Q34" i="17"/>
  <c r="AA34" i="17" s="1"/>
  <c r="P34" i="17"/>
  <c r="Z34" i="17" s="1"/>
  <c r="O34" i="17"/>
  <c r="Y34" i="17" s="1"/>
  <c r="N34" i="17"/>
  <c r="X34" i="17" s="1"/>
  <c r="M34" i="17"/>
  <c r="W34" i="17" s="1"/>
  <c r="J34" i="17"/>
  <c r="AM33" i="17"/>
  <c r="AL33" i="17"/>
  <c r="AK33" i="17"/>
  <c r="AJ33" i="17"/>
  <c r="AI33" i="17"/>
  <c r="AH33" i="17"/>
  <c r="AG33" i="17"/>
  <c r="W33" i="17"/>
  <c r="S33" i="17"/>
  <c r="AC33" i="17" s="1"/>
  <c r="R33" i="17"/>
  <c r="AB33" i="17" s="1"/>
  <c r="Q33" i="17"/>
  <c r="AA33" i="17" s="1"/>
  <c r="P33" i="17"/>
  <c r="Z33" i="17" s="1"/>
  <c r="O33" i="17"/>
  <c r="Y33" i="17" s="1"/>
  <c r="N33" i="17"/>
  <c r="X33" i="17" s="1"/>
  <c r="M33" i="17"/>
  <c r="J33" i="17"/>
  <c r="AM32" i="17"/>
  <c r="AL32" i="17"/>
  <c r="AK32" i="17"/>
  <c r="AJ32" i="17"/>
  <c r="AI32" i="17"/>
  <c r="AH32" i="17"/>
  <c r="AG32" i="17"/>
  <c r="S32" i="17"/>
  <c r="AC32" i="17" s="1"/>
  <c r="R32" i="17"/>
  <c r="AB32" i="17" s="1"/>
  <c r="Q32" i="17"/>
  <c r="AA32" i="17" s="1"/>
  <c r="P32" i="17"/>
  <c r="Z32" i="17" s="1"/>
  <c r="O32" i="17"/>
  <c r="Y32" i="17" s="1"/>
  <c r="N32" i="17"/>
  <c r="X32" i="17" s="1"/>
  <c r="M32" i="17"/>
  <c r="W32" i="17" s="1"/>
  <c r="J32" i="17"/>
  <c r="AM31" i="17"/>
  <c r="AL31" i="17"/>
  <c r="AK31" i="17"/>
  <c r="AJ31" i="17"/>
  <c r="AI31" i="17"/>
  <c r="AH31" i="17"/>
  <c r="AG31" i="17"/>
  <c r="I31" i="17"/>
  <c r="M31" i="17" s="1"/>
  <c r="AM30" i="17"/>
  <c r="AL30" i="17"/>
  <c r="AK30" i="17"/>
  <c r="AJ30" i="17"/>
  <c r="AI30" i="17"/>
  <c r="AH30" i="17"/>
  <c r="AG30" i="17"/>
  <c r="S30" i="17"/>
  <c r="AC30" i="17" s="1"/>
  <c r="R30" i="17"/>
  <c r="AB30" i="17" s="1"/>
  <c r="Q30" i="17"/>
  <c r="AA30" i="17" s="1"/>
  <c r="P30" i="17"/>
  <c r="Z30" i="17" s="1"/>
  <c r="O30" i="17"/>
  <c r="Y30" i="17" s="1"/>
  <c r="N30" i="17"/>
  <c r="X30" i="17" s="1"/>
  <c r="M30" i="17"/>
  <c r="W30" i="17" s="1"/>
  <c r="J30" i="17"/>
  <c r="AM29" i="17"/>
  <c r="AL29" i="17"/>
  <c r="AK29" i="17"/>
  <c r="AJ29" i="17"/>
  <c r="AI29" i="17"/>
  <c r="AH29" i="17"/>
  <c r="AG29" i="17"/>
  <c r="S29" i="17"/>
  <c r="AC29" i="17" s="1"/>
  <c r="R29" i="17"/>
  <c r="AB29" i="17" s="1"/>
  <c r="Q29" i="17"/>
  <c r="AA29" i="17" s="1"/>
  <c r="P29" i="17"/>
  <c r="Z29" i="17" s="1"/>
  <c r="O29" i="17"/>
  <c r="Y29" i="17" s="1"/>
  <c r="N29" i="17"/>
  <c r="X29" i="17" s="1"/>
  <c r="M29" i="17"/>
  <c r="W29" i="17" s="1"/>
  <c r="J29" i="17"/>
  <c r="AM28" i="17"/>
  <c r="AL28" i="17"/>
  <c r="AK28" i="17"/>
  <c r="AJ28" i="17"/>
  <c r="AI28" i="17"/>
  <c r="AH28" i="17"/>
  <c r="AG28" i="17"/>
  <c r="S28" i="17"/>
  <c r="AC28" i="17" s="1"/>
  <c r="R28" i="17"/>
  <c r="AB28" i="17" s="1"/>
  <c r="Q28" i="17"/>
  <c r="AA28" i="17" s="1"/>
  <c r="P28" i="17"/>
  <c r="Z28" i="17" s="1"/>
  <c r="O28" i="17"/>
  <c r="Y28" i="17" s="1"/>
  <c r="N28" i="17"/>
  <c r="X28" i="17" s="1"/>
  <c r="M28" i="17"/>
  <c r="W28" i="17" s="1"/>
  <c r="J28" i="17"/>
  <c r="AM27" i="17"/>
  <c r="AL27" i="17"/>
  <c r="AK27" i="17"/>
  <c r="AJ27" i="17"/>
  <c r="AI27" i="17"/>
  <c r="AH27" i="17"/>
  <c r="AG27" i="17"/>
  <c r="I27" i="17"/>
  <c r="O27" i="17" s="1"/>
  <c r="Y27" i="17" s="1"/>
  <c r="AM26" i="17"/>
  <c r="AL26" i="17"/>
  <c r="AK26" i="17"/>
  <c r="AJ26" i="17"/>
  <c r="AI26" i="17"/>
  <c r="AH26" i="17"/>
  <c r="AG26" i="17"/>
  <c r="S26" i="17"/>
  <c r="AC26" i="17" s="1"/>
  <c r="R26" i="17"/>
  <c r="AB26" i="17" s="1"/>
  <c r="Q26" i="17"/>
  <c r="AA26" i="17" s="1"/>
  <c r="P26" i="17"/>
  <c r="O26" i="17"/>
  <c r="Y26" i="17" s="1"/>
  <c r="N26" i="17"/>
  <c r="X26" i="17" s="1"/>
  <c r="M26" i="17"/>
  <c r="W26" i="17" s="1"/>
  <c r="J26" i="17"/>
  <c r="AM25" i="17"/>
  <c r="AL25" i="17"/>
  <c r="AK25" i="17"/>
  <c r="AJ25" i="17"/>
  <c r="AI25" i="17"/>
  <c r="AH25" i="17"/>
  <c r="AG25" i="17"/>
  <c r="S25" i="17"/>
  <c r="AC25" i="17" s="1"/>
  <c r="R25" i="17"/>
  <c r="AB25" i="17" s="1"/>
  <c r="Q25" i="17"/>
  <c r="AA25" i="17" s="1"/>
  <c r="P25" i="17"/>
  <c r="O25" i="17"/>
  <c r="Y25" i="17" s="1"/>
  <c r="N25" i="17"/>
  <c r="X25" i="17" s="1"/>
  <c r="M25" i="17"/>
  <c r="W25" i="17" s="1"/>
  <c r="J25" i="17"/>
  <c r="AM24" i="17"/>
  <c r="AL24" i="17"/>
  <c r="AK24" i="17"/>
  <c r="AJ24" i="17"/>
  <c r="AI24" i="17"/>
  <c r="AH24" i="17"/>
  <c r="AG24" i="17"/>
  <c r="S24" i="17"/>
  <c r="AC24" i="17" s="1"/>
  <c r="R24" i="17"/>
  <c r="AB24" i="17" s="1"/>
  <c r="Q24" i="17"/>
  <c r="AA24" i="17" s="1"/>
  <c r="P24" i="17"/>
  <c r="O24" i="17"/>
  <c r="Y24" i="17" s="1"/>
  <c r="N24" i="17"/>
  <c r="X24" i="17" s="1"/>
  <c r="M24" i="17"/>
  <c r="W24" i="17" s="1"/>
  <c r="J24" i="17"/>
  <c r="AM23" i="17"/>
  <c r="AL23" i="17"/>
  <c r="AK23" i="17"/>
  <c r="AJ23" i="17"/>
  <c r="AI23" i="17"/>
  <c r="AH23" i="17"/>
  <c r="AG23" i="17"/>
  <c r="S23" i="17"/>
  <c r="AC23" i="17" s="1"/>
  <c r="R23" i="17"/>
  <c r="AB23" i="17" s="1"/>
  <c r="Q23" i="17"/>
  <c r="AA23" i="17" s="1"/>
  <c r="P23" i="17"/>
  <c r="O23" i="17"/>
  <c r="Y23" i="17" s="1"/>
  <c r="N23" i="17"/>
  <c r="X23" i="17" s="1"/>
  <c r="M23" i="17"/>
  <c r="W23" i="17" s="1"/>
  <c r="J23" i="17"/>
  <c r="AM22" i="17"/>
  <c r="AL22" i="17"/>
  <c r="AK22" i="17"/>
  <c r="AJ22" i="17"/>
  <c r="AI22" i="17"/>
  <c r="AH22" i="17"/>
  <c r="AG22" i="17"/>
  <c r="S22" i="17"/>
  <c r="AC22" i="17" s="1"/>
  <c r="R22" i="17"/>
  <c r="AB22" i="17" s="1"/>
  <c r="Q22" i="17"/>
  <c r="AA22" i="17" s="1"/>
  <c r="P22" i="17"/>
  <c r="O22" i="17"/>
  <c r="Y22" i="17" s="1"/>
  <c r="N22" i="17"/>
  <c r="X22" i="17" s="1"/>
  <c r="M22" i="17"/>
  <c r="W22" i="17" s="1"/>
  <c r="J22" i="17"/>
  <c r="AM21" i="17"/>
  <c r="AL21" i="17"/>
  <c r="AK21" i="17"/>
  <c r="AJ21" i="17"/>
  <c r="AI21" i="17"/>
  <c r="AH21" i="17"/>
  <c r="AG21" i="17"/>
  <c r="S21" i="17"/>
  <c r="AC21" i="17" s="1"/>
  <c r="R21" i="17"/>
  <c r="AB21" i="17" s="1"/>
  <c r="Q21" i="17"/>
  <c r="AA21" i="17" s="1"/>
  <c r="P21" i="17"/>
  <c r="O21" i="17"/>
  <c r="Y21" i="17" s="1"/>
  <c r="N21" i="17"/>
  <c r="X21" i="17" s="1"/>
  <c r="M21" i="17"/>
  <c r="W21" i="17" s="1"/>
  <c r="J21" i="17"/>
  <c r="AM20" i="17"/>
  <c r="AL20" i="17"/>
  <c r="AK20" i="17"/>
  <c r="AJ20" i="17"/>
  <c r="AI20" i="17"/>
  <c r="AH20" i="17"/>
  <c r="AG20" i="17"/>
  <c r="S20" i="17"/>
  <c r="AC20" i="17" s="1"/>
  <c r="R20" i="17"/>
  <c r="AB20" i="17" s="1"/>
  <c r="Q20" i="17"/>
  <c r="AA20" i="17" s="1"/>
  <c r="P20" i="17"/>
  <c r="O20" i="17"/>
  <c r="Y20" i="17" s="1"/>
  <c r="N20" i="17"/>
  <c r="X20" i="17" s="1"/>
  <c r="M20" i="17"/>
  <c r="W20" i="17" s="1"/>
  <c r="J20" i="17"/>
  <c r="AM19" i="17"/>
  <c r="AL19" i="17"/>
  <c r="AK19" i="17"/>
  <c r="AJ19" i="17"/>
  <c r="AI19" i="17"/>
  <c r="AH19" i="17"/>
  <c r="AG19" i="17"/>
  <c r="S19" i="17"/>
  <c r="AC19" i="17" s="1"/>
  <c r="R19" i="17"/>
  <c r="AB19" i="17" s="1"/>
  <c r="Q19" i="17"/>
  <c r="AA19" i="17" s="1"/>
  <c r="P19" i="17"/>
  <c r="O19" i="17"/>
  <c r="Y19" i="17" s="1"/>
  <c r="N19" i="17"/>
  <c r="X19" i="17" s="1"/>
  <c r="M19" i="17"/>
  <c r="W19" i="17" s="1"/>
  <c r="J19" i="17"/>
  <c r="AM18" i="17"/>
  <c r="AL18" i="17"/>
  <c r="AK18" i="17"/>
  <c r="AJ18" i="17"/>
  <c r="AI18" i="17"/>
  <c r="AH18" i="17"/>
  <c r="AG18" i="17"/>
  <c r="S18" i="17"/>
  <c r="AC18" i="17" s="1"/>
  <c r="R18" i="17"/>
  <c r="AB18" i="17" s="1"/>
  <c r="Q18" i="17"/>
  <c r="AA18" i="17" s="1"/>
  <c r="P18" i="17"/>
  <c r="Z18" i="17" s="1"/>
  <c r="O18" i="17"/>
  <c r="Y18" i="17" s="1"/>
  <c r="N18" i="17"/>
  <c r="X18" i="17" s="1"/>
  <c r="M18" i="17"/>
  <c r="W18" i="17" s="1"/>
  <c r="J18" i="17"/>
  <c r="AM17" i="17"/>
  <c r="AL17" i="17"/>
  <c r="AK17" i="17"/>
  <c r="AJ17" i="17"/>
  <c r="AI17" i="17"/>
  <c r="AH17" i="17"/>
  <c r="AG17" i="17"/>
  <c r="S17" i="17"/>
  <c r="AC17" i="17" s="1"/>
  <c r="R17" i="17"/>
  <c r="AB17" i="17" s="1"/>
  <c r="Q17" i="17"/>
  <c r="AA17" i="17" s="1"/>
  <c r="P17" i="17"/>
  <c r="O17" i="17"/>
  <c r="Y17" i="17" s="1"/>
  <c r="N17" i="17"/>
  <c r="X17" i="17" s="1"/>
  <c r="M17" i="17"/>
  <c r="W17" i="17" s="1"/>
  <c r="J17" i="17"/>
  <c r="AM16" i="17"/>
  <c r="AL16" i="17"/>
  <c r="AK16" i="17"/>
  <c r="AJ16" i="17"/>
  <c r="AI16" i="17"/>
  <c r="AH16" i="17"/>
  <c r="AG16" i="17"/>
  <c r="I16" i="17"/>
  <c r="S16" i="17" s="1"/>
  <c r="AC16" i="17" s="1"/>
  <c r="AM15" i="17"/>
  <c r="AL15" i="17"/>
  <c r="AK15" i="17"/>
  <c r="AJ15" i="17"/>
  <c r="AI15" i="17"/>
  <c r="AH15" i="17"/>
  <c r="AG15" i="17"/>
  <c r="S15" i="17"/>
  <c r="AC15" i="17" s="1"/>
  <c r="R15" i="17"/>
  <c r="AB15" i="17" s="1"/>
  <c r="Q15" i="17"/>
  <c r="AA15" i="17" s="1"/>
  <c r="P15" i="17"/>
  <c r="Z15" i="17" s="1"/>
  <c r="O15" i="17"/>
  <c r="Y15" i="17" s="1"/>
  <c r="N15" i="17"/>
  <c r="X15" i="17" s="1"/>
  <c r="M15" i="17"/>
  <c r="J15" i="17"/>
  <c r="AM14" i="17"/>
  <c r="AL14" i="17"/>
  <c r="AK14" i="17"/>
  <c r="AJ14" i="17"/>
  <c r="AI14" i="17"/>
  <c r="AH14" i="17"/>
  <c r="AG14" i="17"/>
  <c r="S14" i="17"/>
  <c r="AC14" i="17" s="1"/>
  <c r="R14" i="17"/>
  <c r="AB14" i="17" s="1"/>
  <c r="Q14" i="17"/>
  <c r="AA14" i="17" s="1"/>
  <c r="P14" i="17"/>
  <c r="Z14" i="17" s="1"/>
  <c r="O14" i="17"/>
  <c r="Y14" i="17" s="1"/>
  <c r="N14" i="17"/>
  <c r="X14" i="17" s="1"/>
  <c r="M14" i="17"/>
  <c r="J14" i="17"/>
  <c r="AM13" i="17"/>
  <c r="AL13" i="17"/>
  <c r="AK13" i="17"/>
  <c r="AJ13" i="17"/>
  <c r="AI13" i="17"/>
  <c r="AH13" i="17"/>
  <c r="AG13" i="17"/>
  <c r="S13" i="17"/>
  <c r="AC13" i="17" s="1"/>
  <c r="R13" i="17"/>
  <c r="AB13" i="17" s="1"/>
  <c r="Q13" i="17"/>
  <c r="AA13" i="17" s="1"/>
  <c r="P13" i="17"/>
  <c r="Z13" i="17" s="1"/>
  <c r="O13" i="17"/>
  <c r="Y13" i="17" s="1"/>
  <c r="N13" i="17"/>
  <c r="X13" i="17" s="1"/>
  <c r="M13" i="17"/>
  <c r="J13" i="17"/>
  <c r="AM12" i="17"/>
  <c r="AL12" i="17"/>
  <c r="AK12" i="17"/>
  <c r="AJ12" i="17"/>
  <c r="AI12" i="17"/>
  <c r="AH12" i="17"/>
  <c r="AG12" i="17"/>
  <c r="S12" i="17"/>
  <c r="AC12" i="17" s="1"/>
  <c r="R12" i="17"/>
  <c r="AB12" i="17" s="1"/>
  <c r="Q12" i="17"/>
  <c r="AA12" i="17" s="1"/>
  <c r="P12" i="17"/>
  <c r="Z12" i="17" s="1"/>
  <c r="O12" i="17"/>
  <c r="Y12" i="17" s="1"/>
  <c r="N12" i="17"/>
  <c r="X12" i="17" s="1"/>
  <c r="M12" i="17"/>
  <c r="J12" i="17"/>
  <c r="AM11" i="17"/>
  <c r="AL11" i="17"/>
  <c r="AK11" i="17"/>
  <c r="AJ11" i="17"/>
  <c r="AI11" i="17"/>
  <c r="AH11" i="17"/>
  <c r="AG11" i="17"/>
  <c r="I11" i="17"/>
  <c r="O11" i="17" s="1"/>
  <c r="Y11" i="17" s="1"/>
  <c r="AM10" i="17"/>
  <c r="AL10" i="17"/>
  <c r="AK10" i="17"/>
  <c r="AJ10" i="17"/>
  <c r="AI10" i="17"/>
  <c r="AH10" i="17"/>
  <c r="AG10" i="17"/>
  <c r="I10" i="17"/>
  <c r="J10" i="17" s="1"/>
  <c r="AM9" i="17"/>
  <c r="AL9" i="17"/>
  <c r="AK9" i="17"/>
  <c r="AJ9" i="17"/>
  <c r="AI9" i="17"/>
  <c r="AH9" i="17"/>
  <c r="AG9" i="17"/>
  <c r="S9" i="17"/>
  <c r="AC9" i="17" s="1"/>
  <c r="R9" i="17"/>
  <c r="AB9" i="17" s="1"/>
  <c r="Q9" i="17"/>
  <c r="AA9" i="17" s="1"/>
  <c r="P9" i="17"/>
  <c r="Z9" i="17" s="1"/>
  <c r="O9" i="17"/>
  <c r="Y9" i="17" s="1"/>
  <c r="N9" i="17"/>
  <c r="X9" i="17" s="1"/>
  <c r="M9" i="17"/>
  <c r="W9" i="17" s="1"/>
  <c r="J9" i="17"/>
  <c r="AM8" i="17"/>
  <c r="AL8" i="17"/>
  <c r="AK8" i="17"/>
  <c r="AJ8" i="17"/>
  <c r="AI8" i="17"/>
  <c r="AH8" i="17"/>
  <c r="AG8" i="17"/>
  <c r="S8" i="17"/>
  <c r="AC8" i="17" s="1"/>
  <c r="R8" i="17"/>
  <c r="AB8" i="17" s="1"/>
  <c r="Q8" i="17"/>
  <c r="AA8" i="17" s="1"/>
  <c r="P8" i="17"/>
  <c r="Z8" i="17" s="1"/>
  <c r="O8" i="17"/>
  <c r="Y8" i="17" s="1"/>
  <c r="N8" i="17"/>
  <c r="X8" i="17" s="1"/>
  <c r="M8" i="17"/>
  <c r="W8" i="17" s="1"/>
  <c r="J8" i="17"/>
  <c r="AM7" i="17"/>
  <c r="AL7" i="17"/>
  <c r="AK7" i="17"/>
  <c r="AJ7" i="17"/>
  <c r="AI7" i="17"/>
  <c r="AH7" i="17"/>
  <c r="AG7" i="17"/>
  <c r="S7" i="17"/>
  <c r="AC7" i="17" s="1"/>
  <c r="R7" i="17"/>
  <c r="AB7" i="17" s="1"/>
  <c r="Q7" i="17"/>
  <c r="AA7" i="17" s="1"/>
  <c r="P7" i="17"/>
  <c r="Z7" i="17" s="1"/>
  <c r="O7" i="17"/>
  <c r="Y7" i="17" s="1"/>
  <c r="N7" i="17"/>
  <c r="X7" i="17" s="1"/>
  <c r="M7" i="17"/>
  <c r="J7" i="17"/>
  <c r="AM6" i="17"/>
  <c r="AL6" i="17"/>
  <c r="AK6" i="17"/>
  <c r="AJ6" i="17"/>
  <c r="AI6" i="17"/>
  <c r="AH6" i="17"/>
  <c r="AG6" i="17"/>
  <c r="S6" i="17"/>
  <c r="AC6" i="17" s="1"/>
  <c r="R6" i="17"/>
  <c r="AB6" i="17" s="1"/>
  <c r="Q6" i="17"/>
  <c r="AA6" i="17" s="1"/>
  <c r="P6" i="17"/>
  <c r="Z6" i="17" s="1"/>
  <c r="O6" i="17"/>
  <c r="Y6" i="17" s="1"/>
  <c r="N6" i="17"/>
  <c r="X6" i="17" s="1"/>
  <c r="M6" i="17"/>
  <c r="W6" i="17" s="1"/>
  <c r="J6" i="17"/>
  <c r="AM5" i="17"/>
  <c r="AL5" i="17"/>
  <c r="AK5" i="17"/>
  <c r="AJ5" i="17"/>
  <c r="AI5" i="17"/>
  <c r="AH5" i="17"/>
  <c r="AG5" i="17"/>
  <c r="I5" i="17"/>
  <c r="S5" i="17" s="1"/>
  <c r="AC5" i="17" s="1"/>
  <c r="AM4" i="17"/>
  <c r="AL4" i="17"/>
  <c r="AK4" i="17"/>
  <c r="AJ4" i="17"/>
  <c r="AI4" i="17"/>
  <c r="AH4" i="17"/>
  <c r="AG4" i="17"/>
  <c r="I4" i="17"/>
  <c r="M4" i="17" s="1"/>
  <c r="AM3" i="17"/>
  <c r="AL3" i="17"/>
  <c r="AK3" i="17"/>
  <c r="AJ3" i="17"/>
  <c r="AI3" i="17"/>
  <c r="AH3" i="17"/>
  <c r="AG3" i="17"/>
  <c r="R3" i="17"/>
  <c r="AB3" i="17" s="1"/>
  <c r="Q3" i="17"/>
  <c r="AA3" i="17" s="1"/>
  <c r="M3" i="17"/>
  <c r="W3" i="17" s="1"/>
  <c r="O3" i="17"/>
  <c r="Y3" i="17" s="1"/>
  <c r="AM2" i="17"/>
  <c r="AL2" i="17"/>
  <c r="AK2" i="17"/>
  <c r="AJ2" i="17"/>
  <c r="AI2" i="17"/>
  <c r="AH2" i="17"/>
  <c r="S2" i="17"/>
  <c r="AC2" i="17" s="1"/>
  <c r="R2" i="17"/>
  <c r="Q2" i="17"/>
  <c r="AA2" i="17" s="1"/>
  <c r="P2" i="17"/>
  <c r="O2" i="17"/>
  <c r="Y2" i="17" s="1"/>
  <c r="N2" i="17"/>
  <c r="X2" i="17" s="1"/>
  <c r="J2" i="17"/>
  <c r="D24" i="15"/>
  <c r="P4" i="17" l="1"/>
  <c r="Z4" i="17" s="1"/>
  <c r="AN7" i="17"/>
  <c r="J11" i="17"/>
  <c r="AN2" i="17"/>
  <c r="T37" i="17"/>
  <c r="U37" i="17" s="1"/>
  <c r="AN3" i="17"/>
  <c r="T7" i="17"/>
  <c r="U7" i="17" s="1"/>
  <c r="O22" i="4"/>
  <c r="AO3" i="17"/>
  <c r="T19" i="17"/>
  <c r="U19" i="17" s="1"/>
  <c r="M11" i="17"/>
  <c r="W11" i="17" s="1"/>
  <c r="P11" i="17"/>
  <c r="Z11" i="17" s="1"/>
  <c r="T18" i="17"/>
  <c r="U18" i="17" s="1"/>
  <c r="N31" i="17"/>
  <c r="X31" i="17" s="1"/>
  <c r="T2" i="17"/>
  <c r="U2" i="17" s="1"/>
  <c r="O5" i="17"/>
  <c r="Y5" i="17" s="1"/>
  <c r="M10" i="17"/>
  <c r="W10" i="17" s="1"/>
  <c r="Q11" i="17"/>
  <c r="AA11" i="17" s="1"/>
  <c r="T22" i="17"/>
  <c r="U22" i="17" s="1"/>
  <c r="T25" i="17"/>
  <c r="U25" i="17" s="1"/>
  <c r="R31" i="17"/>
  <c r="AB31" i="17" s="1"/>
  <c r="T38" i="17"/>
  <c r="U38" i="17" s="1"/>
  <c r="P5" i="17"/>
  <c r="Z5" i="17" s="1"/>
  <c r="N10" i="17"/>
  <c r="X10" i="17" s="1"/>
  <c r="T32" i="17"/>
  <c r="U32" i="17" s="1"/>
  <c r="T39" i="17"/>
  <c r="U39" i="17" s="1"/>
  <c r="R5" i="17"/>
  <c r="AB5" i="17" s="1"/>
  <c r="R10" i="17"/>
  <c r="AB10" i="17" s="1"/>
  <c r="J16" i="17"/>
  <c r="T20" i="17"/>
  <c r="U20" i="17" s="1"/>
  <c r="T26" i="17"/>
  <c r="U26" i="17" s="1"/>
  <c r="N3" i="17"/>
  <c r="X3" i="17" s="1"/>
  <c r="T6" i="17"/>
  <c r="U6" i="17" s="1"/>
  <c r="P16" i="17"/>
  <c r="Z16" i="17" s="1"/>
  <c r="T23" i="17"/>
  <c r="U23" i="17" s="1"/>
  <c r="T33" i="17"/>
  <c r="U33" i="17" s="1"/>
  <c r="T29" i="17"/>
  <c r="U29" i="17" s="1"/>
  <c r="T34" i="17"/>
  <c r="U34" i="17" s="1"/>
  <c r="T21" i="17"/>
  <c r="U21" i="17" s="1"/>
  <c r="T35" i="17"/>
  <c r="U35" i="17" s="1"/>
  <c r="W7" i="17"/>
  <c r="AD7" i="17" s="1"/>
  <c r="AE7" i="17" s="1"/>
  <c r="N11" i="17"/>
  <c r="X11" i="17" s="1"/>
  <c r="T24" i="17"/>
  <c r="U24" i="17" s="1"/>
  <c r="T36" i="17"/>
  <c r="U36" i="17" s="1"/>
  <c r="W37" i="17"/>
  <c r="AD37" i="17" s="1"/>
  <c r="AE37" i="17" s="1"/>
  <c r="AJ40" i="17"/>
  <c r="AM40" i="17"/>
  <c r="AK40" i="17"/>
  <c r="AN10" i="17"/>
  <c r="AO10" i="17" s="1"/>
  <c r="AN12" i="17"/>
  <c r="AO12" i="17" s="1"/>
  <c r="AN35" i="17"/>
  <c r="AO35" i="17" s="1"/>
  <c r="AN20" i="17"/>
  <c r="AO20" i="17" s="1"/>
  <c r="AN21" i="17"/>
  <c r="AO21" i="17" s="1"/>
  <c r="AN24" i="17"/>
  <c r="AO24" i="17" s="1"/>
  <c r="AN29" i="17"/>
  <c r="AO29" i="17" s="1"/>
  <c r="AI40" i="17"/>
  <c r="AN39" i="17"/>
  <c r="AO39" i="17" s="1"/>
  <c r="AN34" i="17"/>
  <c r="AO34" i="17" s="1"/>
  <c r="AN14" i="17"/>
  <c r="AO14" i="17" s="1"/>
  <c r="AN11" i="17"/>
  <c r="AO11" i="17" s="1"/>
  <c r="AN31" i="17"/>
  <c r="AO31" i="17" s="1"/>
  <c r="AD35" i="17"/>
  <c r="AE35" i="17" s="1"/>
  <c r="AN38" i="17"/>
  <c r="AO38" i="17" s="1"/>
  <c r="AN6" i="17"/>
  <c r="AO6" i="17" s="1"/>
  <c r="AN30" i="17"/>
  <c r="AO30" i="17" s="1"/>
  <c r="AN36" i="17"/>
  <c r="AO36" i="17" s="1"/>
  <c r="AN37" i="17"/>
  <c r="AO37" i="17" s="1"/>
  <c r="AN32" i="17"/>
  <c r="AO32" i="17" s="1"/>
  <c r="AN19" i="17"/>
  <c r="AO19" i="17" s="1"/>
  <c r="AN25" i="17"/>
  <c r="AO25" i="17" s="1"/>
  <c r="AN33" i="17"/>
  <c r="AO33" i="17" s="1"/>
  <c r="AN17" i="17"/>
  <c r="AO17" i="17" s="1"/>
  <c r="AN22" i="17"/>
  <c r="AO22" i="17" s="1"/>
  <c r="AN26" i="17"/>
  <c r="AO26" i="17" s="1"/>
  <c r="AN27" i="17"/>
  <c r="AO27" i="17" s="1"/>
  <c r="AN5" i="17"/>
  <c r="AO5" i="17" s="1"/>
  <c r="AD9" i="17"/>
  <c r="AE9" i="17" s="1"/>
  <c r="AN23" i="17"/>
  <c r="AO23" i="17" s="1"/>
  <c r="AN28" i="17"/>
  <c r="AO28" i="17" s="1"/>
  <c r="AN8" i="17"/>
  <c r="AO8" i="17" s="1"/>
  <c r="AN18" i="17"/>
  <c r="AO18" i="17" s="1"/>
  <c r="W4" i="17"/>
  <c r="AL40" i="17"/>
  <c r="P3" i="17"/>
  <c r="Z3" i="17" s="1"/>
  <c r="AN16" i="17"/>
  <c r="AO16" i="17" s="1"/>
  <c r="AD30" i="17"/>
  <c r="AE30" i="17" s="1"/>
  <c r="AD36" i="17"/>
  <c r="AE36" i="17" s="1"/>
  <c r="W13" i="17"/>
  <c r="AD13" i="17" s="1"/>
  <c r="AE13" i="17" s="1"/>
  <c r="T13" i="17"/>
  <c r="U13" i="17" s="1"/>
  <c r="AO7" i="17"/>
  <c r="AD8" i="17"/>
  <c r="AE8" i="17" s="1"/>
  <c r="T9" i="17"/>
  <c r="U9" i="17" s="1"/>
  <c r="W31" i="17"/>
  <c r="AD6" i="17"/>
  <c r="AE6" i="17" s="1"/>
  <c r="W15" i="17"/>
  <c r="AD15" i="17" s="1"/>
  <c r="AE15" i="17" s="1"/>
  <c r="T15" i="17"/>
  <c r="U15" i="17" s="1"/>
  <c r="AD38" i="17"/>
  <c r="AE38" i="17" s="1"/>
  <c r="AB2" i="17"/>
  <c r="AG40" i="17"/>
  <c r="S3" i="17"/>
  <c r="AC3" i="17" s="1"/>
  <c r="J4" i="17"/>
  <c r="T8" i="17"/>
  <c r="U8" i="17" s="1"/>
  <c r="AN9" i="17"/>
  <c r="AO9" i="17" s="1"/>
  <c r="T12" i="17"/>
  <c r="U12" i="17" s="1"/>
  <c r="W12" i="17"/>
  <c r="AD12" i="17" s="1"/>
  <c r="AE12" i="17" s="1"/>
  <c r="T14" i="17"/>
  <c r="U14" i="17" s="1"/>
  <c r="W14" i="17"/>
  <c r="AD14" i="17" s="1"/>
  <c r="AE14" i="17" s="1"/>
  <c r="T17" i="17"/>
  <c r="U17" i="17" s="1"/>
  <c r="Z17" i="17"/>
  <c r="AD17" i="17" s="1"/>
  <c r="AE17" i="17" s="1"/>
  <c r="AD18" i="17"/>
  <c r="AE18" i="17" s="1"/>
  <c r="AD32" i="17"/>
  <c r="AE32" i="17" s="1"/>
  <c r="AD39" i="17"/>
  <c r="AE39" i="17" s="1"/>
  <c r="AN13" i="17"/>
  <c r="AO13" i="17" s="1"/>
  <c r="AN15" i="17"/>
  <c r="AO15" i="17" s="1"/>
  <c r="AD28" i="17"/>
  <c r="AE28" i="17" s="1"/>
  <c r="N4" i="17"/>
  <c r="X4" i="17" s="1"/>
  <c r="S4" i="17"/>
  <c r="AC4" i="17" s="1"/>
  <c r="R4" i="17"/>
  <c r="AB4" i="17" s="1"/>
  <c r="Q4" i="17"/>
  <c r="AA4" i="17" s="1"/>
  <c r="AH40" i="17"/>
  <c r="Z2" i="17"/>
  <c r="AD2" i="17" s="1"/>
  <c r="J3" i="17"/>
  <c r="O4" i="17"/>
  <c r="Y4" i="17" s="1"/>
  <c r="AN4" i="17"/>
  <c r="AO4" i="17" s="1"/>
  <c r="Q5" i="17"/>
  <c r="AA5" i="17" s="1"/>
  <c r="N5" i="17"/>
  <c r="X5" i="17" s="1"/>
  <c r="M5" i="17"/>
  <c r="J5" i="17"/>
  <c r="AD29" i="17"/>
  <c r="AE29" i="17" s="1"/>
  <c r="AD33" i="17"/>
  <c r="AE33" i="17" s="1"/>
  <c r="AD34" i="17"/>
  <c r="AE34" i="17" s="1"/>
  <c r="O10" i="17"/>
  <c r="Y10" i="17" s="1"/>
  <c r="R11" i="17"/>
  <c r="AB11" i="17" s="1"/>
  <c r="M16" i="17"/>
  <c r="Z19" i="17"/>
  <c r="AD19" i="17" s="1"/>
  <c r="AE19" i="17" s="1"/>
  <c r="Z21" i="17"/>
  <c r="AD21" i="17" s="1"/>
  <c r="AE21" i="17" s="1"/>
  <c r="Z23" i="17"/>
  <c r="AD23" i="17" s="1"/>
  <c r="AE23" i="17" s="1"/>
  <c r="Z25" i="17"/>
  <c r="AD25" i="17" s="1"/>
  <c r="AE25" i="17" s="1"/>
  <c r="P27" i="17"/>
  <c r="Z27" i="17" s="1"/>
  <c r="T28" i="17"/>
  <c r="U28" i="17" s="1"/>
  <c r="T30" i="17"/>
  <c r="U30" i="17" s="1"/>
  <c r="O31" i="17"/>
  <c r="Y31" i="17" s="1"/>
  <c r="P10" i="17"/>
  <c r="Z10" i="17" s="1"/>
  <c r="S11" i="17"/>
  <c r="AC11" i="17" s="1"/>
  <c r="N16" i="17"/>
  <c r="X16" i="17" s="1"/>
  <c r="Q27" i="17"/>
  <c r="AA27" i="17" s="1"/>
  <c r="P31" i="17"/>
  <c r="Z31" i="17" s="1"/>
  <c r="Q10" i="17"/>
  <c r="AA10" i="17" s="1"/>
  <c r="O16" i="17"/>
  <c r="Y16" i="17" s="1"/>
  <c r="R27" i="17"/>
  <c r="AB27" i="17" s="1"/>
  <c r="Q31" i="17"/>
  <c r="AA31" i="17" s="1"/>
  <c r="S27" i="17"/>
  <c r="AC27" i="17" s="1"/>
  <c r="S10" i="17"/>
  <c r="AC10" i="17" s="1"/>
  <c r="Q16" i="17"/>
  <c r="AA16" i="17" s="1"/>
  <c r="Z20" i="17"/>
  <c r="AD20" i="17" s="1"/>
  <c r="AE20" i="17" s="1"/>
  <c r="Z22" i="17"/>
  <c r="AD22" i="17" s="1"/>
  <c r="AE22" i="17" s="1"/>
  <c r="Z24" i="17"/>
  <c r="AD24" i="17" s="1"/>
  <c r="AE24" i="17" s="1"/>
  <c r="Z26" i="17"/>
  <c r="AD26" i="17" s="1"/>
  <c r="AE26" i="17" s="1"/>
  <c r="J27" i="17"/>
  <c r="S31" i="17"/>
  <c r="AC31" i="17" s="1"/>
  <c r="R16" i="17"/>
  <c r="AB16" i="17" s="1"/>
  <c r="M27" i="17"/>
  <c r="J31" i="17"/>
  <c r="N27" i="17"/>
  <c r="X27" i="17" s="1"/>
  <c r="O20" i="11"/>
  <c r="F5" i="14"/>
  <c r="O15" i="11"/>
  <c r="M40" i="17" l="1"/>
  <c r="T3" i="17"/>
  <c r="U3" i="17" s="1"/>
  <c r="Q40" i="17"/>
  <c r="AD3" i="17"/>
  <c r="AE3" i="17" s="1"/>
  <c r="AE2" i="17"/>
  <c r="AC40" i="17"/>
  <c r="AA40" i="17"/>
  <c r="AD10" i="17"/>
  <c r="AE10" i="17" s="1"/>
  <c r="Y40" i="17"/>
  <c r="X40" i="17"/>
  <c r="W5" i="17"/>
  <c r="T5" i="17"/>
  <c r="U5" i="17" s="1"/>
  <c r="P40" i="17"/>
  <c r="AN40" i="17"/>
  <c r="AO40" i="17" s="1"/>
  <c r="AO2" i="17"/>
  <c r="W27" i="17"/>
  <c r="AD27" i="17" s="1"/>
  <c r="AE27" i="17" s="1"/>
  <c r="T27" i="17"/>
  <c r="U27" i="17" s="1"/>
  <c r="T11" i="17"/>
  <c r="U11" i="17" s="1"/>
  <c r="O40" i="17"/>
  <c r="AD11" i="17"/>
  <c r="AE11" i="17" s="1"/>
  <c r="T31" i="17"/>
  <c r="U31" i="17" s="1"/>
  <c r="S40" i="17"/>
  <c r="T10" i="17"/>
  <c r="U10" i="17" s="1"/>
  <c r="AB40" i="17"/>
  <c r="AD31" i="17"/>
  <c r="AE31" i="17" s="1"/>
  <c r="R40" i="17"/>
  <c r="T4" i="17"/>
  <c r="U4" i="17" s="1"/>
  <c r="AD4" i="17"/>
  <c r="AE4" i="17" s="1"/>
  <c r="W16" i="17"/>
  <c r="AD16" i="17" s="1"/>
  <c r="AE16" i="17" s="1"/>
  <c r="T16" i="17"/>
  <c r="U16" i="17" s="1"/>
  <c r="Z40" i="17"/>
  <c r="N40" i="17"/>
  <c r="S41" i="17" l="1"/>
  <c r="S42" i="17"/>
  <c r="AC42" i="17" s="1"/>
  <c r="P41" i="17"/>
  <c r="P42" i="17"/>
  <c r="Z42" i="17" s="1"/>
  <c r="N41" i="17"/>
  <c r="N42" i="17"/>
  <c r="X42" i="17" s="1"/>
  <c r="O41" i="17"/>
  <c r="O43" i="17" s="1"/>
  <c r="Y43" i="17" s="1"/>
  <c r="O42" i="17"/>
  <c r="Y42" i="17" s="1"/>
  <c r="Q41" i="17"/>
  <c r="Q42" i="17"/>
  <c r="AA42" i="17" s="1"/>
  <c r="R41" i="17"/>
  <c r="R43" i="17" s="1"/>
  <c r="AB43" i="17" s="1"/>
  <c r="R42" i="17"/>
  <c r="AB42" i="17" s="1"/>
  <c r="M42" i="17"/>
  <c r="W42" i="17" s="1"/>
  <c r="M41" i="17"/>
  <c r="W40" i="17"/>
  <c r="S43" i="17"/>
  <c r="AC43" i="17" s="1"/>
  <c r="AC41" i="17"/>
  <c r="P43" i="17"/>
  <c r="Z43" i="17" s="1"/>
  <c r="Z41" i="17"/>
  <c r="T40" i="17"/>
  <c r="T43" i="17" s="1"/>
  <c r="N43" i="17"/>
  <c r="X43" i="17" s="1"/>
  <c r="X41" i="17"/>
  <c r="AB41" i="17"/>
  <c r="Y41" i="17"/>
  <c r="Q43" i="17"/>
  <c r="AA43" i="17" s="1"/>
  <c r="AA41" i="17"/>
  <c r="AD5" i="17"/>
  <c r="AE5" i="17" s="1"/>
  <c r="W44" i="17" l="1"/>
  <c r="X44" i="17" s="1"/>
  <c r="M43" i="17"/>
  <c r="W41" i="17"/>
  <c r="S45" i="17"/>
  <c r="S44" i="17"/>
  <c r="Q44" i="17"/>
  <c r="Q45" i="17"/>
  <c r="O45" i="17"/>
  <c r="O44" i="17"/>
  <c r="N45" i="17"/>
  <c r="N44" i="17"/>
  <c r="U40" i="17"/>
  <c r="U43" i="17" s="1"/>
  <c r="P45" i="17"/>
  <c r="P44" i="17"/>
  <c r="AD40" i="17"/>
  <c r="AD43" i="17" s="1"/>
  <c r="R44" i="17"/>
  <c r="R45" i="17"/>
  <c r="W43" i="17" l="1"/>
  <c r="M45" i="17"/>
  <c r="M44" i="17"/>
  <c r="AE40" i="17"/>
  <c r="B19" i="14"/>
  <c r="AE43" i="17" l="1"/>
  <c r="B42" i="14"/>
  <c r="B113" i="14" l="1"/>
  <c r="B40" i="14"/>
  <c r="B37" i="14"/>
  <c r="B105" i="14"/>
  <c r="B32" i="14"/>
  <c r="B29" i="14"/>
  <c r="B33" i="14"/>
  <c r="B88" i="14"/>
  <c r="B127" i="14"/>
  <c r="B109" i="14"/>
  <c r="B119" i="14"/>
  <c r="B36" i="14"/>
  <c r="B138" i="14"/>
  <c r="B89" i="14"/>
  <c r="B26" i="14"/>
  <c r="B80" i="14"/>
  <c r="B103" i="14"/>
  <c r="B101" i="14"/>
  <c r="B94" i="14"/>
  <c r="B102" i="14"/>
  <c r="B81" i="14"/>
  <c r="B86" i="14"/>
  <c r="B137" i="14"/>
  <c r="B73" i="14"/>
  <c r="B128" i="14"/>
  <c r="B64" i="14"/>
  <c r="B63" i="14"/>
  <c r="B85" i="14"/>
  <c r="B25" i="14"/>
  <c r="B115" i="14"/>
  <c r="B22" i="14"/>
  <c r="B49" i="14"/>
  <c r="B70" i="14"/>
  <c r="B60" i="14"/>
  <c r="B24" i="14"/>
  <c r="B96" i="14"/>
  <c r="B44" i="14"/>
  <c r="B97" i="14"/>
  <c r="B122" i="14"/>
  <c r="B72" i="14"/>
  <c r="B79" i="14"/>
  <c r="B93" i="14"/>
  <c r="B23" i="14"/>
  <c r="B129" i="14"/>
  <c r="B65" i="14"/>
  <c r="B120" i="14"/>
  <c r="B56" i="14"/>
  <c r="B39" i="14"/>
  <c r="B53" i="14"/>
  <c r="B124" i="14"/>
  <c r="B51" i="14"/>
  <c r="B104" i="14"/>
  <c r="B90" i="14"/>
  <c r="B41" i="14"/>
  <c r="B117" i="14"/>
  <c r="B136" i="14"/>
  <c r="B78" i="14"/>
  <c r="B21" i="14"/>
  <c r="B121" i="14"/>
  <c r="B57" i="14"/>
  <c r="B112" i="14"/>
  <c r="B48" i="14"/>
  <c r="B134" i="14"/>
  <c r="B45" i="14"/>
  <c r="B76" i="14"/>
  <c r="B43" i="14"/>
  <c r="B62" i="14"/>
  <c r="B52" i="14"/>
  <c r="B139" i="14"/>
  <c r="B35" i="14"/>
  <c r="B123" i="14"/>
  <c r="B98" i="14"/>
  <c r="B77" i="14"/>
  <c r="B95" i="14"/>
  <c r="B116" i="14"/>
  <c r="B111" i="14"/>
  <c r="B107" i="14"/>
  <c r="B82" i="14"/>
  <c r="B133" i="14"/>
  <c r="B69" i="14"/>
  <c r="B31" i="14"/>
  <c r="B108" i="14"/>
  <c r="B47" i="14"/>
  <c r="B99" i="14"/>
  <c r="B74" i="14"/>
  <c r="B125" i="14"/>
  <c r="B61" i="14"/>
  <c r="B110" i="14"/>
  <c r="B100" i="14"/>
  <c r="B118" i="14"/>
  <c r="B59" i="14"/>
  <c r="B34" i="14"/>
  <c r="B71" i="14"/>
  <c r="B46" i="14"/>
  <c r="B92" i="14"/>
  <c r="B28" i="14"/>
  <c r="B54" i="14"/>
  <c r="B91" i="14"/>
  <c r="B27" i="14"/>
  <c r="B66" i="14"/>
  <c r="B55" i="14"/>
  <c r="B38" i="14"/>
  <c r="B84" i="14"/>
  <c r="B135" i="14"/>
  <c r="B30" i="14"/>
  <c r="B83" i="14"/>
  <c r="B130" i="14"/>
  <c r="B58" i="14"/>
  <c r="B75" i="14"/>
  <c r="B114" i="14"/>
  <c r="B50" i="14"/>
  <c r="B126" i="14"/>
  <c r="B132" i="14"/>
  <c r="B68" i="14"/>
  <c r="B87" i="14"/>
  <c r="B131" i="14"/>
  <c r="B67" i="14"/>
  <c r="B106" i="14"/>
  <c r="E20" i="14"/>
  <c r="C21" i="14" s="1"/>
  <c r="D21" i="14" l="1"/>
  <c r="E21" i="14" l="1"/>
  <c r="C22" i="14" s="1"/>
  <c r="D22" i="14" l="1"/>
  <c r="E22" i="14" l="1"/>
  <c r="C23" i="14" s="1"/>
  <c r="D23" i="14" l="1"/>
  <c r="E23" i="14" l="1"/>
  <c r="C24" i="14" s="1"/>
  <c r="D24" i="14" s="1"/>
  <c r="E24" i="14" s="1"/>
  <c r="C25" i="14" s="1"/>
  <c r="D25" i="14" s="1"/>
  <c r="E25" i="14" s="1"/>
  <c r="C26" i="14" s="1"/>
  <c r="D26" i="14" s="1"/>
  <c r="E26" i="14" s="1"/>
  <c r="C27" i="14" s="1"/>
  <c r="D27" i="14" s="1"/>
  <c r="E27" i="14" s="1"/>
  <c r="C28" i="14" l="1"/>
  <c r="D28" i="14" s="1"/>
  <c r="E28" i="14" s="1"/>
  <c r="C29" i="14" s="1"/>
  <c r="D29" i="14" s="1"/>
  <c r="E29" i="14" s="1"/>
  <c r="C30" i="14" s="1"/>
  <c r="D30" i="14" s="1"/>
  <c r="E30" i="14" s="1"/>
  <c r="C31" i="14" s="1"/>
  <c r="D31" i="14" l="1"/>
  <c r="G4" i="14"/>
  <c r="B14" i="8" l="1"/>
  <c r="D11" i="9" s="1"/>
  <c r="E31" i="14"/>
  <c r="C32" i="14" s="1"/>
  <c r="G3" i="14"/>
  <c r="G5" i="14" l="1"/>
  <c r="P20" i="11" s="1"/>
  <c r="D32" i="14"/>
  <c r="E32" i="14" l="1"/>
  <c r="C33" i="14" s="1"/>
  <c r="D33" i="14" l="1"/>
  <c r="E33" i="14" l="1"/>
  <c r="C34" i="14" s="1"/>
  <c r="D34" i="14" l="1"/>
  <c r="E34" i="14" l="1"/>
  <c r="C35" i="14" l="1"/>
  <c r="D35" i="14" l="1"/>
  <c r="E35" i="14" l="1"/>
  <c r="C36" i="14" l="1"/>
  <c r="D36" i="14" l="1"/>
  <c r="E36" i="14" l="1"/>
  <c r="C37" i="14" l="1"/>
  <c r="D37" i="14" s="1"/>
  <c r="E37" i="14" s="1"/>
  <c r="C38" i="14" s="1"/>
  <c r="D38" i="14" s="1"/>
  <c r="E38" i="14" s="1"/>
  <c r="C39" i="14" l="1"/>
  <c r="D39" i="14" s="1"/>
  <c r="E39" i="14" s="1"/>
  <c r="C40" i="14" l="1"/>
  <c r="D40" i="14" s="1"/>
  <c r="E40" i="14" s="1"/>
  <c r="C41" i="14" l="1"/>
  <c r="D41" i="14" s="1"/>
  <c r="E41" i="14" s="1"/>
  <c r="C42" i="14" l="1"/>
  <c r="D42" i="14" s="1"/>
  <c r="E42" i="14" s="1"/>
  <c r="C43" i="14" l="1"/>
  <c r="D43" i="14" l="1"/>
  <c r="H4" i="14"/>
  <c r="C14" i="8" s="1"/>
  <c r="H3" i="14" l="1"/>
  <c r="E43" i="14"/>
  <c r="H5" i="14" l="1"/>
  <c r="Q20" i="11" s="1"/>
  <c r="C44" i="14"/>
  <c r="D44" i="14" l="1"/>
  <c r="E44" i="14" l="1"/>
  <c r="C45" i="14" s="1"/>
  <c r="D45" i="14" l="1"/>
  <c r="E45" i="14" l="1"/>
  <c r="C46" i="14" s="1"/>
  <c r="D46" i="14" l="1"/>
  <c r="E46" i="14" l="1"/>
  <c r="C47" i="14" s="1"/>
  <c r="D47" i="14" l="1"/>
  <c r="E47" i="14" l="1"/>
  <c r="C48" i="14" s="1"/>
  <c r="D48" i="14" l="1"/>
  <c r="E48" i="14" l="1"/>
  <c r="C49" i="14" l="1"/>
  <c r="D49" i="14" s="1"/>
  <c r="E49" i="14" s="1"/>
  <c r="C50" i="14" s="1"/>
  <c r="D50" i="14" s="1"/>
  <c r="E50" i="14" s="1"/>
  <c r="C51" i="14" s="1"/>
  <c r="D51" i="14" s="1"/>
  <c r="E51" i="14" s="1"/>
  <c r="C52" i="14" l="1"/>
  <c r="D52" i="14" s="1"/>
  <c r="E52" i="14" s="1"/>
  <c r="C53" i="14" l="1"/>
  <c r="D53" i="14" s="1"/>
  <c r="E53" i="14" s="1"/>
  <c r="C54" i="14" l="1"/>
  <c r="D54" i="14" s="1"/>
  <c r="E54" i="14" s="1"/>
  <c r="C55" i="14" l="1"/>
  <c r="D55" i="14" l="1"/>
  <c r="I4" i="14"/>
  <c r="D14" i="8" s="1"/>
  <c r="I3" i="14" l="1"/>
  <c r="E55" i="14"/>
  <c r="C56" i="14" s="1"/>
  <c r="D56" i="14" l="1"/>
  <c r="I5" i="14"/>
  <c r="R20" i="11" s="1"/>
  <c r="E56" i="14"/>
  <c r="C57" i="14" l="1"/>
  <c r="D57" i="14" l="1"/>
  <c r="E57" i="14" s="1"/>
  <c r="C58" i="14" l="1"/>
  <c r="D58" i="14" l="1"/>
  <c r="E58" i="14" s="1"/>
  <c r="C59" i="14" s="1"/>
  <c r="D59" i="14" s="1"/>
  <c r="E59" i="14" s="1"/>
  <c r="C60" i="14" s="1"/>
  <c r="D60" i="14" s="1"/>
  <c r="E60" i="14" s="1"/>
  <c r="C61" i="14" l="1"/>
  <c r="D61" i="14" s="1"/>
  <c r="E61" i="14" s="1"/>
  <c r="C62" i="14" s="1"/>
  <c r="D62" i="14" s="1"/>
  <c r="E62" i="14" s="1"/>
  <c r="C63" i="14" s="1"/>
  <c r="D63" i="14" s="1"/>
  <c r="E63" i="14" s="1"/>
  <c r="C64" i="14" l="1"/>
  <c r="D64" i="14" s="1"/>
  <c r="E64" i="14" s="1"/>
  <c r="C65" i="14" s="1"/>
  <c r="D65" i="14" s="1"/>
  <c r="E65" i="14" s="1"/>
  <c r="C66" i="14" l="1"/>
  <c r="D66" i="14" s="1"/>
  <c r="E66" i="14" s="1"/>
  <c r="C67" i="14" s="1"/>
  <c r="D67" i="14" l="1"/>
  <c r="J4" i="14"/>
  <c r="E14" i="8" s="1"/>
  <c r="E67" i="14"/>
  <c r="J3" i="14"/>
  <c r="J5" i="14" l="1"/>
  <c r="S20" i="11" s="1"/>
  <c r="C68" i="14"/>
  <c r="D68" i="14" l="1"/>
  <c r="E68" i="14" s="1"/>
  <c r="C69" i="14" l="1"/>
  <c r="D69" i="14" l="1"/>
  <c r="E69" i="14" s="1"/>
  <c r="C70" i="14"/>
  <c r="D70" i="14" s="1"/>
  <c r="E70" i="14" s="1"/>
  <c r="C71" i="14" l="1"/>
  <c r="D71" i="14" s="1"/>
  <c r="E71" i="14" l="1"/>
  <c r="C72" i="14" l="1"/>
  <c r="D72" i="14" l="1"/>
  <c r="E72" i="14" s="1"/>
  <c r="C73" i="14" s="1"/>
  <c r="D73" i="14" s="1"/>
  <c r="E73" i="14" s="1"/>
  <c r="C74" i="14" l="1"/>
  <c r="D74" i="14" s="1"/>
  <c r="E74" i="14" s="1"/>
  <c r="C75" i="14" s="1"/>
  <c r="D75" i="14" s="1"/>
  <c r="E75" i="14" s="1"/>
  <c r="C76" i="14" l="1"/>
  <c r="D76" i="14" s="1"/>
  <c r="E76" i="14" s="1"/>
  <c r="C77" i="14" s="1"/>
  <c r="D77" i="14" s="1"/>
  <c r="E77" i="14" s="1"/>
  <c r="C78" i="14" s="1"/>
  <c r="D78" i="14" s="1"/>
  <c r="E78" i="14" s="1"/>
  <c r="C79" i="14" s="1"/>
  <c r="D79" i="14" l="1"/>
  <c r="E79" i="14" s="1"/>
  <c r="C80" i="14" s="1"/>
  <c r="K4" i="14"/>
  <c r="F14" i="8" s="1"/>
  <c r="K3" i="14" l="1"/>
  <c r="D80" i="14"/>
  <c r="K5" i="14" l="1"/>
  <c r="T20" i="11" s="1"/>
  <c r="E80" i="14"/>
  <c r="C81" i="14" s="1"/>
  <c r="D81" i="14" l="1"/>
  <c r="E81" i="14" l="1"/>
  <c r="C82" i="14" s="1"/>
  <c r="D82" i="14" l="1"/>
  <c r="E82" i="14" l="1"/>
  <c r="C83" i="14" s="1"/>
  <c r="D83" i="14" l="1"/>
  <c r="E83" i="14" l="1"/>
  <c r="C84" i="14" s="1"/>
  <c r="D84" i="14" l="1"/>
  <c r="E84" i="14" l="1"/>
  <c r="C85" i="14" s="1"/>
  <c r="D85" i="14" s="1"/>
  <c r="E85" i="14" s="1"/>
  <c r="C86" i="14" s="1"/>
  <c r="D86" i="14" s="1"/>
  <c r="E86" i="14" s="1"/>
  <c r="C87" i="14" s="1"/>
  <c r="D87" i="14" s="1"/>
  <c r="E87" i="14" s="1"/>
  <c r="C88" i="14" l="1"/>
  <c r="D88" i="14" s="1"/>
  <c r="E88" i="14" s="1"/>
  <c r="C89" i="14" l="1"/>
  <c r="D89" i="14" s="1"/>
  <c r="E89" i="14" s="1"/>
  <c r="C90" i="14" s="1"/>
  <c r="D90" i="14" s="1"/>
  <c r="E90" i="14" s="1"/>
  <c r="C91" i="14" s="1"/>
  <c r="D91" i="14" l="1"/>
  <c r="L4" i="14"/>
  <c r="G14" i="8" s="1"/>
  <c r="I11" i="9" s="1"/>
  <c r="I25" i="9" s="1"/>
  <c r="E91" i="14" l="1"/>
  <c r="C92" i="14" s="1"/>
  <c r="L3" i="14"/>
  <c r="L5" i="14" s="1"/>
  <c r="U20" i="11" s="1"/>
  <c r="D92" i="14" l="1"/>
  <c r="E92" i="14" l="1"/>
  <c r="C93" i="14" s="1"/>
  <c r="D93" i="14" l="1"/>
  <c r="E93" i="14" l="1"/>
  <c r="C94" i="14" s="1"/>
  <c r="D94" i="14" l="1"/>
  <c r="E94" i="14" l="1"/>
  <c r="C95" i="14" s="1"/>
  <c r="D95" i="14" l="1"/>
  <c r="E95" i="14" l="1"/>
  <c r="C96" i="14" s="1"/>
  <c r="D96" i="14" l="1"/>
  <c r="E96" i="14" l="1"/>
  <c r="C97" i="14" s="1"/>
  <c r="D97" i="14" s="1"/>
  <c r="E97" i="14" s="1"/>
  <c r="C98" i="14" s="1"/>
  <c r="D98" i="14" s="1"/>
  <c r="E98" i="14" s="1"/>
  <c r="C99" i="14" l="1"/>
  <c r="D99" i="14" s="1"/>
  <c r="E99" i="14" s="1"/>
  <c r="C100" i="14" s="1"/>
  <c r="D100" i="14" s="1"/>
  <c r="E100" i="14" s="1"/>
  <c r="C101" i="14" l="1"/>
  <c r="D101" i="14" s="1"/>
  <c r="E101" i="14" s="1"/>
  <c r="C102" i="14" l="1"/>
  <c r="D102" i="14" s="1"/>
  <c r="E102" i="14" s="1"/>
  <c r="C103" i="14" s="1"/>
  <c r="D103" i="14" l="1"/>
  <c r="M4" i="14"/>
  <c r="H14" i="8" s="1"/>
  <c r="E103" i="14" l="1"/>
  <c r="M3" i="14"/>
  <c r="M5" i="14" s="1"/>
  <c r="V20" i="11" s="1"/>
  <c r="C104" i="14" l="1"/>
  <c r="D104" i="14" l="1"/>
  <c r="E104" i="14" l="1"/>
  <c r="C105" i="14"/>
  <c r="D105" i="14" l="1"/>
  <c r="E105" i="14" l="1"/>
  <c r="C106" i="14" s="1"/>
  <c r="D106" i="14" s="1"/>
  <c r="E106" i="14" s="1"/>
  <c r="C107" i="14" s="1"/>
  <c r="D107" i="14" s="1"/>
  <c r="E107" i="14" s="1"/>
  <c r="C108" i="14" s="1"/>
  <c r="D108" i="14" l="1"/>
  <c r="E108" i="14" s="1"/>
  <c r="C109" i="14" l="1"/>
  <c r="D109" i="14" l="1"/>
  <c r="E109" i="14" l="1"/>
  <c r="C110" i="14"/>
  <c r="D110" i="14" s="1"/>
  <c r="E110" i="14" s="1"/>
  <c r="C111" i="14" s="1"/>
  <c r="D111" i="14" s="1"/>
  <c r="E111" i="14" s="1"/>
  <c r="C112" i="14" s="1"/>
  <c r="D112" i="14" s="1"/>
  <c r="E112" i="14" s="1"/>
  <c r="C113" i="14" l="1"/>
  <c r="D113" i="14" s="1"/>
  <c r="E113" i="14" s="1"/>
  <c r="C114" i="14" s="1"/>
  <c r="D114" i="14" s="1"/>
  <c r="E114" i="14" s="1"/>
  <c r="C115" i="14" l="1"/>
  <c r="D115" i="14" l="1"/>
  <c r="N4" i="14"/>
  <c r="I14" i="8" s="1"/>
  <c r="E115" i="14" l="1"/>
  <c r="C116" i="14" s="1"/>
  <c r="D116" i="14" s="1"/>
  <c r="N3" i="14"/>
  <c r="N5" i="14" s="1"/>
  <c r="W20" i="11" s="1"/>
  <c r="E116" i="14" l="1"/>
  <c r="C117" i="14" s="1"/>
  <c r="D117" i="14" s="1"/>
  <c r="E117" i="14" s="1"/>
  <c r="C118" i="14" s="1"/>
  <c r="D118" i="14" s="1"/>
  <c r="E118" i="14" s="1"/>
  <c r="C119" i="14" s="1"/>
  <c r="D119" i="14" l="1"/>
  <c r="E119" i="14" l="1"/>
  <c r="C120" i="14"/>
  <c r="D120" i="14" l="1"/>
  <c r="E120" i="14" l="1"/>
  <c r="C121" i="14" s="1"/>
  <c r="D121" i="14" l="1"/>
  <c r="E121" i="14" l="1"/>
  <c r="C122" i="14"/>
  <c r="D122" i="14" l="1"/>
  <c r="E122" i="14" l="1"/>
  <c r="C123" i="14"/>
  <c r="D123" i="14" s="1"/>
  <c r="E123" i="14" s="1"/>
  <c r="C124" i="14" l="1"/>
  <c r="D124" i="14" s="1"/>
  <c r="E124" i="14" s="1"/>
  <c r="C125" i="14" s="1"/>
  <c r="D125" i="14" s="1"/>
  <c r="E125" i="14" s="1"/>
  <c r="C126" i="14" l="1"/>
  <c r="D126" i="14" s="1"/>
  <c r="E126" i="14" s="1"/>
  <c r="C127" i="14" l="1"/>
  <c r="D127" i="14" l="1"/>
  <c r="O4" i="14"/>
  <c r="J14" i="8" s="1"/>
  <c r="E127" i="14" l="1"/>
  <c r="C128" i="14" s="1"/>
  <c r="O3" i="14"/>
  <c r="O5" i="14" s="1"/>
  <c r="X20" i="11" s="1"/>
  <c r="D128" i="14" l="1"/>
  <c r="E128" i="14" l="1"/>
  <c r="C129" i="14" s="1"/>
  <c r="D129" i="14" l="1"/>
  <c r="E129" i="14" l="1"/>
  <c r="C130" i="14" s="1"/>
  <c r="D130" i="14" l="1"/>
  <c r="E130" i="14" l="1"/>
  <c r="C131" i="14" s="1"/>
  <c r="D131" i="14" l="1"/>
  <c r="E131" i="14" l="1"/>
  <c r="C132" i="14" s="1"/>
  <c r="D132" i="14" l="1"/>
  <c r="E132" i="14" l="1"/>
  <c r="C133" i="14" s="1"/>
  <c r="D133" i="14" s="1"/>
  <c r="E133" i="14" s="1"/>
  <c r="C134" i="14" s="1"/>
  <c r="D134" i="14" s="1"/>
  <c r="E134" i="14" s="1"/>
  <c r="C135" i="14" s="1"/>
  <c r="D135" i="14" s="1"/>
  <c r="E135" i="14" s="1"/>
  <c r="C136" i="14" s="1"/>
  <c r="D136" i="14" s="1"/>
  <c r="E136" i="14" s="1"/>
  <c r="C137" i="14" s="1"/>
  <c r="D137" i="14" s="1"/>
  <c r="E137" i="14" s="1"/>
  <c r="C138" i="14" s="1"/>
  <c r="D138" i="14" s="1"/>
  <c r="E138" i="14" s="1"/>
  <c r="C139" i="14" l="1"/>
  <c r="D139" i="14" l="1"/>
  <c r="P4" i="14"/>
  <c r="Q4" i="14" l="1"/>
  <c r="K14" i="8"/>
  <c r="N10" i="8" s="1"/>
  <c r="P3" i="14"/>
  <c r="E139" i="14"/>
  <c r="P5" i="14" l="1"/>
  <c r="Y20" i="11" s="1"/>
  <c r="Q3" i="14"/>
  <c r="Q5" i="14" s="1"/>
  <c r="E20" i="12" l="1"/>
  <c r="E21" i="12"/>
  <c r="E18" i="12"/>
  <c r="K3" i="6"/>
  <c r="E11" i="9"/>
  <c r="E25" i="9" s="1"/>
  <c r="F11" i="9"/>
  <c r="F25" i="9" s="1"/>
  <c r="G11" i="9"/>
  <c r="G25" i="9" s="1"/>
  <c r="H11" i="9"/>
  <c r="H25" i="9" s="1"/>
  <c r="J11" i="9"/>
  <c r="J25" i="9" s="1"/>
  <c r="K11" i="9"/>
  <c r="K25" i="9" s="1"/>
  <c r="L11" i="9"/>
  <c r="L25" i="9" s="1"/>
  <c r="M11" i="9"/>
  <c r="M25" i="9" s="1"/>
  <c r="D25" i="9"/>
  <c r="G20" i="12" l="1"/>
  <c r="L3" i="16" l="1"/>
  <c r="U3" i="16" s="1"/>
  <c r="L4" i="16"/>
  <c r="D11" i="15"/>
  <c r="D40" i="15"/>
  <c r="F40" i="15" s="1"/>
  <c r="G40" i="15" s="1"/>
  <c r="F11" i="5"/>
  <c r="F12" i="5"/>
  <c r="F13" i="5"/>
  <c r="F14" i="5"/>
  <c r="F15" i="5"/>
  <c r="F16" i="5"/>
  <c r="F17" i="5"/>
  <c r="F2" i="5"/>
  <c r="D2" i="15"/>
  <c r="D6" i="15"/>
  <c r="D7" i="15"/>
  <c r="D8" i="15"/>
  <c r="D9" i="15"/>
  <c r="D10" i="15"/>
  <c r="D12" i="15"/>
  <c r="D13" i="15"/>
  <c r="D14" i="15"/>
  <c r="D15" i="15"/>
  <c r="D17" i="15"/>
  <c r="D18" i="15"/>
  <c r="D19" i="15"/>
  <c r="D20" i="15"/>
  <c r="D21" i="15"/>
  <c r="D22" i="15"/>
  <c r="D23" i="15"/>
  <c r="D25" i="15"/>
  <c r="D26" i="15"/>
  <c r="D28" i="15"/>
  <c r="D29" i="15"/>
  <c r="D30" i="15"/>
  <c r="D32" i="15"/>
  <c r="D33" i="15"/>
  <c r="D34" i="15"/>
  <c r="D35" i="15"/>
  <c r="D36" i="15"/>
  <c r="D37" i="15"/>
  <c r="D38" i="15"/>
  <c r="D39" i="15"/>
  <c r="L10" i="16"/>
  <c r="U10" i="16" s="1"/>
  <c r="F35" i="15"/>
  <c r="G35" i="15" s="1"/>
  <c r="Z26" i="16"/>
  <c r="AA26" i="16" s="1"/>
  <c r="X24" i="16"/>
  <c r="W24" i="16"/>
  <c r="V24" i="16"/>
  <c r="U24" i="16"/>
  <c r="T24" i="16"/>
  <c r="S24" i="16"/>
  <c r="R24" i="16"/>
  <c r="Q24" i="16"/>
  <c r="P24" i="16"/>
  <c r="O24" i="16"/>
  <c r="X23" i="16"/>
  <c r="W23" i="16"/>
  <c r="V23" i="16"/>
  <c r="U23" i="16"/>
  <c r="T23" i="16"/>
  <c r="S23" i="16"/>
  <c r="R23" i="16"/>
  <c r="Q23" i="16"/>
  <c r="P23" i="16"/>
  <c r="O23" i="16"/>
  <c r="X22" i="16"/>
  <c r="W22" i="16"/>
  <c r="V22" i="16"/>
  <c r="U22" i="16"/>
  <c r="T22" i="16"/>
  <c r="S22" i="16"/>
  <c r="R22" i="16"/>
  <c r="Q22" i="16"/>
  <c r="P22" i="16"/>
  <c r="O22" i="16"/>
  <c r="X21" i="16"/>
  <c r="W21" i="16"/>
  <c r="V21" i="16"/>
  <c r="U21" i="16"/>
  <c r="T21" i="16"/>
  <c r="S21" i="16"/>
  <c r="R21" i="16"/>
  <c r="Q21" i="16"/>
  <c r="P21" i="16"/>
  <c r="O21" i="16"/>
  <c r="X20" i="16"/>
  <c r="W20" i="16"/>
  <c r="V20" i="16"/>
  <c r="U20" i="16"/>
  <c r="T20" i="16"/>
  <c r="S20" i="16"/>
  <c r="R20" i="16"/>
  <c r="Q20" i="16"/>
  <c r="P20" i="16"/>
  <c r="O20" i="16"/>
  <c r="X19" i="16"/>
  <c r="W19" i="16"/>
  <c r="V19" i="16"/>
  <c r="U19" i="16"/>
  <c r="T19" i="16"/>
  <c r="S19" i="16"/>
  <c r="R19" i="16"/>
  <c r="Q19" i="16"/>
  <c r="P19" i="16"/>
  <c r="O19" i="16"/>
  <c r="X18" i="16"/>
  <c r="W18" i="16"/>
  <c r="V18" i="16"/>
  <c r="U18" i="16"/>
  <c r="T18" i="16"/>
  <c r="S18" i="16"/>
  <c r="R18" i="16"/>
  <c r="Q18" i="16"/>
  <c r="P18" i="16"/>
  <c r="O18" i="16"/>
  <c r="X17" i="16"/>
  <c r="W17" i="16"/>
  <c r="V17" i="16"/>
  <c r="U17" i="16"/>
  <c r="T17" i="16"/>
  <c r="S17" i="16"/>
  <c r="R17" i="16"/>
  <c r="Q17" i="16"/>
  <c r="P17" i="16"/>
  <c r="O17" i="16"/>
  <c r="L16" i="16"/>
  <c r="U16" i="16" s="1"/>
  <c r="X15" i="16"/>
  <c r="W15" i="16"/>
  <c r="V15" i="16"/>
  <c r="U15" i="16"/>
  <c r="T15" i="16"/>
  <c r="S15" i="16"/>
  <c r="R15" i="16"/>
  <c r="Q15" i="16"/>
  <c r="P15" i="16"/>
  <c r="O15" i="16"/>
  <c r="X14" i="16"/>
  <c r="W14" i="16"/>
  <c r="V14" i="16"/>
  <c r="U14" i="16"/>
  <c r="T14" i="16"/>
  <c r="S14" i="16"/>
  <c r="R14" i="16"/>
  <c r="Q14" i="16"/>
  <c r="P14" i="16"/>
  <c r="O14" i="16"/>
  <c r="X13" i="16"/>
  <c r="W13" i="16"/>
  <c r="V13" i="16"/>
  <c r="U13" i="16"/>
  <c r="T13" i="16"/>
  <c r="S13" i="16"/>
  <c r="R13" i="16"/>
  <c r="Q13" i="16"/>
  <c r="P13" i="16"/>
  <c r="O13" i="16"/>
  <c r="X12" i="16"/>
  <c r="W12" i="16"/>
  <c r="V12" i="16"/>
  <c r="U12" i="16"/>
  <c r="T12" i="16"/>
  <c r="S12" i="16"/>
  <c r="R12" i="16"/>
  <c r="Q12" i="16"/>
  <c r="P12" i="16"/>
  <c r="O12" i="16"/>
  <c r="L11" i="16"/>
  <c r="U11" i="16" s="1"/>
  <c r="X9" i="16"/>
  <c r="W9" i="16"/>
  <c r="V9" i="16"/>
  <c r="U9" i="16"/>
  <c r="T9" i="16"/>
  <c r="S9" i="16"/>
  <c r="R9" i="16"/>
  <c r="Q9" i="16"/>
  <c r="P9" i="16"/>
  <c r="O9" i="16"/>
  <c r="X8" i="16"/>
  <c r="W8" i="16"/>
  <c r="V8" i="16"/>
  <c r="U8" i="16"/>
  <c r="T8" i="16"/>
  <c r="S8" i="16"/>
  <c r="R8" i="16"/>
  <c r="Q8" i="16"/>
  <c r="P8" i="16"/>
  <c r="X7" i="16"/>
  <c r="W7" i="16"/>
  <c r="V7" i="16"/>
  <c r="U7" i="16"/>
  <c r="T7" i="16"/>
  <c r="S7" i="16"/>
  <c r="R7" i="16"/>
  <c r="Q7" i="16"/>
  <c r="P7" i="16"/>
  <c r="O7" i="16"/>
  <c r="X6" i="16"/>
  <c r="W6" i="16"/>
  <c r="V6" i="16"/>
  <c r="U6" i="16"/>
  <c r="T6" i="16"/>
  <c r="S6" i="16"/>
  <c r="R6" i="16"/>
  <c r="Q6" i="16"/>
  <c r="P6" i="16"/>
  <c r="L5" i="16"/>
  <c r="X2" i="16"/>
  <c r="W2" i="16"/>
  <c r="V2" i="16"/>
  <c r="U2" i="16"/>
  <c r="T2" i="16"/>
  <c r="S2" i="16"/>
  <c r="R2" i="16"/>
  <c r="Q2" i="16"/>
  <c r="P2" i="16"/>
  <c r="U5" i="16" l="1"/>
  <c r="O5" i="16"/>
  <c r="V10" i="16"/>
  <c r="U4" i="16"/>
  <c r="O4" i="16"/>
  <c r="Z2" i="16"/>
  <c r="AA2" i="16" s="1"/>
  <c r="AB2" i="16" s="1"/>
  <c r="Z6" i="16"/>
  <c r="AA6" i="16" s="1"/>
  <c r="AB6" i="16" s="1"/>
  <c r="Z14" i="16"/>
  <c r="AA14" i="16" s="1"/>
  <c r="AB14" i="16" s="1"/>
  <c r="Z15" i="16"/>
  <c r="AA15" i="16" s="1"/>
  <c r="AB15" i="16" s="1"/>
  <c r="F33" i="15"/>
  <c r="F29" i="15"/>
  <c r="F21" i="15"/>
  <c r="D16" i="15"/>
  <c r="Z23" i="16"/>
  <c r="AA23" i="16" s="1"/>
  <c r="AB23" i="16" s="1"/>
  <c r="Z7" i="16"/>
  <c r="AA7" i="16" s="1"/>
  <c r="AB7" i="16" s="1"/>
  <c r="F7" i="15" s="1"/>
  <c r="Z12" i="16"/>
  <c r="AA12" i="16" s="1"/>
  <c r="AB12" i="16" s="1"/>
  <c r="F12" i="15" s="1"/>
  <c r="D31" i="15"/>
  <c r="Z19" i="16"/>
  <c r="AA19" i="16" s="1"/>
  <c r="AB19" i="16" s="1"/>
  <c r="F19" i="15" s="1"/>
  <c r="Z24" i="16"/>
  <c r="AA24" i="16" s="1"/>
  <c r="AB24" i="16" s="1"/>
  <c r="F39" i="15" s="1"/>
  <c r="Z17" i="16"/>
  <c r="AA17" i="16" s="1"/>
  <c r="AB17" i="16" s="1"/>
  <c r="F17" i="15" s="1"/>
  <c r="Z21" i="16"/>
  <c r="AA21" i="16" s="1"/>
  <c r="AB21" i="16" s="1"/>
  <c r="D5" i="15"/>
  <c r="Z9" i="16"/>
  <c r="AA9" i="16" s="1"/>
  <c r="AB9" i="16" s="1"/>
  <c r="F9" i="15" s="1"/>
  <c r="Z13" i="16"/>
  <c r="AA13" i="16" s="1"/>
  <c r="AB13" i="16" s="1"/>
  <c r="F13" i="15" s="1"/>
  <c r="F15" i="15"/>
  <c r="F23" i="15"/>
  <c r="D4" i="15"/>
  <c r="F25" i="15"/>
  <c r="Z8" i="16"/>
  <c r="AA8" i="16" s="1"/>
  <c r="AB8" i="16" s="1"/>
  <c r="Z18" i="16"/>
  <c r="AA18" i="16" s="1"/>
  <c r="AB18" i="16" s="1"/>
  <c r="F18" i="15" s="1"/>
  <c r="Z22" i="16"/>
  <c r="AA22" i="16" s="1"/>
  <c r="AB22" i="16" s="1"/>
  <c r="F22" i="15" s="1"/>
  <c r="F31" i="15"/>
  <c r="D27" i="15"/>
  <c r="D3" i="15"/>
  <c r="E35" i="15"/>
  <c r="F36" i="15"/>
  <c r="F8" i="15"/>
  <c r="F24" i="15"/>
  <c r="F30" i="15"/>
  <c r="F14" i="15"/>
  <c r="F37" i="15"/>
  <c r="F38" i="15"/>
  <c r="F34" i="15"/>
  <c r="F26" i="15"/>
  <c r="F6" i="15"/>
  <c r="G6" i="15" s="1"/>
  <c r="F32" i="15"/>
  <c r="F28" i="15"/>
  <c r="Z20" i="16"/>
  <c r="AA20" i="16" s="1"/>
  <c r="AB20" i="16" s="1"/>
  <c r="F20" i="15" s="1"/>
  <c r="U25" i="16"/>
  <c r="R3" i="16"/>
  <c r="V4" i="16"/>
  <c r="V5" i="16"/>
  <c r="R10" i="16"/>
  <c r="R11" i="16"/>
  <c r="V11" i="16"/>
  <c r="R16" i="16"/>
  <c r="V16" i="16"/>
  <c r="O3" i="16"/>
  <c r="S3" i="16"/>
  <c r="W3" i="16"/>
  <c r="S4" i="16"/>
  <c r="W4" i="16"/>
  <c r="S5" i="16"/>
  <c r="W5" i="16"/>
  <c r="O10" i="16"/>
  <c r="S10" i="16"/>
  <c r="W10" i="16"/>
  <c r="O11" i="16"/>
  <c r="S11" i="16"/>
  <c r="W11" i="16"/>
  <c r="O16" i="16"/>
  <c r="S16" i="16"/>
  <c r="W16" i="16"/>
  <c r="V3" i="16"/>
  <c r="R4" i="16"/>
  <c r="R5" i="16"/>
  <c r="P3" i="16"/>
  <c r="T3" i="16"/>
  <c r="X3" i="16"/>
  <c r="P4" i="16"/>
  <c r="T4" i="16"/>
  <c r="X4" i="16"/>
  <c r="P5" i="16"/>
  <c r="T5" i="16"/>
  <c r="X5" i="16"/>
  <c r="P10" i="16"/>
  <c r="T10" i="16"/>
  <c r="X10" i="16"/>
  <c r="P11" i="16"/>
  <c r="T11" i="16"/>
  <c r="X11" i="16"/>
  <c r="P16" i="16"/>
  <c r="T16" i="16"/>
  <c r="X16" i="16"/>
  <c r="Q3" i="16"/>
  <c r="Q4" i="16"/>
  <c r="Q5" i="16"/>
  <c r="Q10" i="16"/>
  <c r="Q11" i="16"/>
  <c r="Q16" i="16"/>
  <c r="K4" i="6"/>
  <c r="F3" i="5"/>
  <c r="G3" i="5" s="1"/>
  <c r="F4" i="5"/>
  <c r="G4" i="5" s="1"/>
  <c r="J16" i="1"/>
  <c r="J8" i="1"/>
  <c r="J15" i="1"/>
  <c r="J14" i="1"/>
  <c r="V25" i="16" l="1"/>
  <c r="Q25" i="16"/>
  <c r="Z16" i="16"/>
  <c r="AA16" i="16" s="1"/>
  <c r="AB16" i="16" s="1"/>
  <c r="G19" i="15"/>
  <c r="E19" i="15"/>
  <c r="E17" i="15"/>
  <c r="G17" i="15"/>
  <c r="G31" i="15"/>
  <c r="E31" i="15"/>
  <c r="G39" i="15"/>
  <c r="E39" i="15"/>
  <c r="G20" i="15"/>
  <c r="E20" i="15"/>
  <c r="E15" i="15"/>
  <c r="G15" i="15"/>
  <c r="F10" i="15"/>
  <c r="E23" i="15"/>
  <c r="G23" i="15"/>
  <c r="E9" i="15"/>
  <c r="G9" i="15"/>
  <c r="E25" i="15"/>
  <c r="G25" i="15"/>
  <c r="E24" i="15"/>
  <c r="G24" i="15"/>
  <c r="G28" i="15"/>
  <c r="E28" i="15"/>
  <c r="F27" i="15"/>
  <c r="G21" i="15"/>
  <c r="E21" i="15"/>
  <c r="G22" i="15"/>
  <c r="E22" i="15"/>
  <c r="G12" i="15"/>
  <c r="E12" i="15"/>
  <c r="E26" i="15"/>
  <c r="G26" i="15"/>
  <c r="E18" i="15"/>
  <c r="G18" i="15"/>
  <c r="G32" i="15"/>
  <c r="E32" i="15"/>
  <c r="E34" i="15"/>
  <c r="G34" i="15"/>
  <c r="E8" i="15"/>
  <c r="G8" i="15"/>
  <c r="E38" i="15"/>
  <c r="G38" i="15"/>
  <c r="G36" i="15"/>
  <c r="E36" i="15"/>
  <c r="E7" i="15"/>
  <c r="G7" i="15"/>
  <c r="G33" i="15"/>
  <c r="E33" i="15"/>
  <c r="F16" i="15"/>
  <c r="R25" i="16"/>
  <c r="G13" i="15"/>
  <c r="E13" i="15"/>
  <c r="E6" i="15"/>
  <c r="E29" i="15"/>
  <c r="G29" i="15"/>
  <c r="G14" i="15"/>
  <c r="E14" i="15"/>
  <c r="E37" i="15"/>
  <c r="G37" i="15"/>
  <c r="E30" i="15"/>
  <c r="G30" i="15"/>
  <c r="X25" i="16"/>
  <c r="T25" i="16"/>
  <c r="P25" i="16"/>
  <c r="Z4" i="16"/>
  <c r="AA4" i="16" s="1"/>
  <c r="W25" i="16"/>
  <c r="Z10" i="16"/>
  <c r="AA10" i="16" s="1"/>
  <c r="AB10" i="16" s="1"/>
  <c r="S25" i="16"/>
  <c r="Z5" i="16"/>
  <c r="AA5" i="16" s="1"/>
  <c r="AB5" i="16" s="1"/>
  <c r="F5" i="15" s="1"/>
  <c r="Z11" i="16"/>
  <c r="AA11" i="16" s="1"/>
  <c r="AB11" i="16" s="1"/>
  <c r="Z3" i="16"/>
  <c r="AA3" i="16" s="1"/>
  <c r="O25" i="16"/>
  <c r="E16" i="6"/>
  <c r="E17" i="6" s="1"/>
  <c r="C3" i="9"/>
  <c r="C17" i="9" s="1"/>
  <c r="C6" i="9"/>
  <c r="C20" i="9" s="1"/>
  <c r="E10" i="6"/>
  <c r="E11" i="6" s="1"/>
  <c r="E4" i="6"/>
  <c r="E3" i="6"/>
  <c r="I20" i="6"/>
  <c r="I21" i="6" s="1"/>
  <c r="I17" i="6"/>
  <c r="I18" i="6" s="1"/>
  <c r="I13" i="6"/>
  <c r="I12" i="6"/>
  <c r="I11" i="6"/>
  <c r="J20" i="6"/>
  <c r="J17" i="6"/>
  <c r="J13" i="6"/>
  <c r="J12" i="6"/>
  <c r="J11" i="6"/>
  <c r="K5" i="6"/>
  <c r="K6" i="6" s="1"/>
  <c r="F25" i="5"/>
  <c r="G25" i="5" s="1"/>
  <c r="F21" i="5"/>
  <c r="G21" i="5" s="1"/>
  <c r="F22" i="5"/>
  <c r="G22" i="5" s="1"/>
  <c r="F18" i="5"/>
  <c r="G18" i="5" s="1"/>
  <c r="F19" i="5"/>
  <c r="G19" i="5" s="1"/>
  <c r="G15" i="5"/>
  <c r="G16" i="5"/>
  <c r="G12" i="5"/>
  <c r="G13" i="5"/>
  <c r="F9" i="5"/>
  <c r="G9" i="5" s="1"/>
  <c r="F10" i="5"/>
  <c r="G10" i="5" s="1"/>
  <c r="F6" i="5"/>
  <c r="G6" i="5" s="1"/>
  <c r="F7" i="5"/>
  <c r="G7" i="5" s="1"/>
  <c r="F24" i="5"/>
  <c r="G24" i="5" s="1"/>
  <c r="F23" i="5"/>
  <c r="G23" i="5" s="1"/>
  <c r="F20" i="5"/>
  <c r="G20" i="5" s="1"/>
  <c r="G17" i="5"/>
  <c r="G14" i="5"/>
  <c r="G11" i="5"/>
  <c r="F8" i="5"/>
  <c r="G8" i="5" s="1"/>
  <c r="F5" i="5"/>
  <c r="G5" i="5" s="1"/>
  <c r="G2" i="5"/>
  <c r="F13" i="8"/>
  <c r="G13" i="8"/>
  <c r="H13" i="8"/>
  <c r="I13" i="8"/>
  <c r="J13" i="8"/>
  <c r="K13" i="8"/>
  <c r="N9" i="8" s="1"/>
  <c r="E21" i="1"/>
  <c r="E20" i="1"/>
  <c r="B9" i="1"/>
  <c r="J4" i="1"/>
  <c r="J5" i="1"/>
  <c r="J6" i="1"/>
  <c r="J7" i="1"/>
  <c r="J9" i="1"/>
  <c r="J10" i="1"/>
  <c r="J11" i="1"/>
  <c r="J12" i="1"/>
  <c r="J13" i="1"/>
  <c r="J3" i="1"/>
  <c r="E14" i="1"/>
  <c r="E15" i="1"/>
  <c r="E13" i="1"/>
  <c r="C4" i="4" l="1"/>
  <c r="B7" i="8"/>
  <c r="C14" i="11" s="1"/>
  <c r="P17" i="11" s="1"/>
  <c r="G27" i="5"/>
  <c r="B3" i="8" s="1"/>
  <c r="D5" i="9" s="1"/>
  <c r="H8" i="8"/>
  <c r="B8" i="8"/>
  <c r="J18" i="6"/>
  <c r="J21" i="6"/>
  <c r="F9" i="8"/>
  <c r="G9" i="8"/>
  <c r="B9" i="8"/>
  <c r="D9" i="8"/>
  <c r="D4" i="4"/>
  <c r="E22" i="1"/>
  <c r="C7" i="4" s="1"/>
  <c r="AB4" i="16"/>
  <c r="F4" i="15" s="1"/>
  <c r="C9" i="8"/>
  <c r="K9" i="8"/>
  <c r="J9" i="8"/>
  <c r="I9" i="8"/>
  <c r="E9" i="8"/>
  <c r="E5" i="15"/>
  <c r="G5" i="15"/>
  <c r="F8" i="8"/>
  <c r="G27" i="15"/>
  <c r="E27" i="15"/>
  <c r="G8" i="8"/>
  <c r="E8" i="8"/>
  <c r="H9" i="8"/>
  <c r="D8" i="8"/>
  <c r="C8" i="8"/>
  <c r="J8" i="8"/>
  <c r="K8" i="8"/>
  <c r="N7" i="8" s="1"/>
  <c r="Z25" i="16"/>
  <c r="AB3" i="16"/>
  <c r="F11" i="15"/>
  <c r="I8" i="8"/>
  <c r="F2" i="15"/>
  <c r="E16" i="15"/>
  <c r="G16" i="15"/>
  <c r="G10" i="15"/>
  <c r="E10" i="15"/>
  <c r="J17" i="1"/>
  <c r="C8" i="4" s="1"/>
  <c r="E5" i="6"/>
  <c r="B6" i="8" s="1"/>
  <c r="E16" i="1"/>
  <c r="H24" i="1" s="1"/>
  <c r="J8" i="4" l="1"/>
  <c r="J7" i="4"/>
  <c r="J4" i="4"/>
  <c r="L4" i="4" s="1"/>
  <c r="E28" i="6"/>
  <c r="C7" i="8"/>
  <c r="D7" i="8" s="1"/>
  <c r="D9" i="9"/>
  <c r="D23" i="9" s="1"/>
  <c r="C6" i="8"/>
  <c r="B11" i="8"/>
  <c r="G11" i="8"/>
  <c r="C6" i="11"/>
  <c r="C5" i="11" s="1"/>
  <c r="D6" i="9"/>
  <c r="D20" i="9" s="1"/>
  <c r="E7" i="4"/>
  <c r="E8" i="4"/>
  <c r="C6" i="4"/>
  <c r="C3" i="8"/>
  <c r="D6" i="11" s="1"/>
  <c r="G4" i="15"/>
  <c r="E4" i="15"/>
  <c r="G2" i="15"/>
  <c r="E2" i="15"/>
  <c r="F3" i="15"/>
  <c r="G11" i="15"/>
  <c r="E11" i="15"/>
  <c r="E11" i="8"/>
  <c r="F11" i="8"/>
  <c r="H11" i="8"/>
  <c r="D11" i="8"/>
  <c r="I11" i="8"/>
  <c r="J11" i="8"/>
  <c r="C11" i="8"/>
  <c r="K11" i="8"/>
  <c r="N8" i="8" s="1"/>
  <c r="Z27" i="16"/>
  <c r="Z28" i="16" s="1"/>
  <c r="AA25" i="16"/>
  <c r="Z29" i="16" l="1"/>
  <c r="X29" i="16"/>
  <c r="L7" i="4"/>
  <c r="L10" i="4" s="1"/>
  <c r="C21" i="4"/>
  <c r="L8" i="4"/>
  <c r="C20" i="4"/>
  <c r="J6" i="4"/>
  <c r="J10" i="4" s="1"/>
  <c r="E11" i="4"/>
  <c r="O9" i="11" s="1"/>
  <c r="C11" i="4"/>
  <c r="F6" i="4" s="1"/>
  <c r="D14" i="11"/>
  <c r="Q17" i="11" s="1"/>
  <c r="E9" i="9"/>
  <c r="E23" i="9" s="1"/>
  <c r="D6" i="8"/>
  <c r="E7" i="8"/>
  <c r="E14" i="11"/>
  <c r="R17" i="11" s="1"/>
  <c r="F9" i="9"/>
  <c r="F23" i="9" s="1"/>
  <c r="P6" i="11"/>
  <c r="P5" i="11" s="1"/>
  <c r="D6" i="4"/>
  <c r="D11" i="4" s="1"/>
  <c r="O8" i="11" s="1"/>
  <c r="O7" i="11" s="1"/>
  <c r="D3" i="8"/>
  <c r="E5" i="9"/>
  <c r="E6" i="9" s="1"/>
  <c r="E20" i="9" s="1"/>
  <c r="D19" i="9"/>
  <c r="Q6" i="11"/>
  <c r="Q5" i="11" s="1"/>
  <c r="D5" i="11"/>
  <c r="G3" i="15"/>
  <c r="G41" i="15" s="1"/>
  <c r="E30" i="6" s="1"/>
  <c r="E3" i="15"/>
  <c r="F20" i="4" l="1"/>
  <c r="G20" i="4"/>
  <c r="H20" i="4"/>
  <c r="H23" i="4" s="1"/>
  <c r="E20" i="4"/>
  <c r="C23" i="4"/>
  <c r="C25" i="4" s="1"/>
  <c r="E21" i="4"/>
  <c r="G21" i="4"/>
  <c r="H21" i="4"/>
  <c r="F21" i="4"/>
  <c r="E6" i="8"/>
  <c r="B11" i="11"/>
  <c r="B43" i="11" s="1"/>
  <c r="F5" i="4"/>
  <c r="F9" i="4"/>
  <c r="F8" i="4"/>
  <c r="F4" i="4"/>
  <c r="F11" i="4" s="1"/>
  <c r="F7" i="4"/>
  <c r="F5" i="9"/>
  <c r="F19" i="9" s="1"/>
  <c r="E3" i="8"/>
  <c r="F3" i="8" s="1"/>
  <c r="G3" i="8" s="1"/>
  <c r="H3" i="8" s="1"/>
  <c r="F6" i="8"/>
  <c r="F14" i="11"/>
  <c r="S17" i="11" s="1"/>
  <c r="F7" i="8"/>
  <c r="G9" i="9"/>
  <c r="G23" i="9" s="1"/>
  <c r="E6" i="11"/>
  <c r="R6" i="11" s="1"/>
  <c r="R5" i="11" s="1"/>
  <c r="E19" i="9"/>
  <c r="B5" i="8"/>
  <c r="D4" i="9" s="1"/>
  <c r="D18" i="9" s="1"/>
  <c r="E23" i="4" l="1"/>
  <c r="E25" i="4" s="1"/>
  <c r="F25" i="4" s="1"/>
  <c r="G25" i="4" s="1"/>
  <c r="H25" i="4" s="1"/>
  <c r="I25" i="4" s="1"/>
  <c r="J25" i="4" s="1"/>
  <c r="K25" i="4" s="1"/>
  <c r="L25" i="4" s="1"/>
  <c r="M25" i="4" s="1"/>
  <c r="N25" i="4" s="1"/>
  <c r="G23" i="4"/>
  <c r="F23" i="4"/>
  <c r="O20" i="4"/>
  <c r="C13" i="11"/>
  <c r="P16" i="11" s="1"/>
  <c r="D8" i="9"/>
  <c r="D22" i="9" s="1"/>
  <c r="G6" i="8"/>
  <c r="F6" i="9"/>
  <c r="F20" i="9" s="1"/>
  <c r="O14" i="11"/>
  <c r="O13" i="11" s="1"/>
  <c r="I3" i="8"/>
  <c r="J3" i="8" s="1"/>
  <c r="K3" i="8" s="1"/>
  <c r="D3" i="9"/>
  <c r="D17" i="9" s="1"/>
  <c r="B4" i="8"/>
  <c r="B13" i="8"/>
  <c r="O21" i="4"/>
  <c r="G7" i="8"/>
  <c r="G14" i="11"/>
  <c r="T17" i="11" s="1"/>
  <c r="H9" i="9"/>
  <c r="H23" i="9" s="1"/>
  <c r="G5" i="9"/>
  <c r="G6" i="9" s="1"/>
  <c r="G20" i="9" s="1"/>
  <c r="F6" i="11"/>
  <c r="S6" i="11" s="1"/>
  <c r="S5" i="11" s="1"/>
  <c r="E5" i="11"/>
  <c r="C5" i="8"/>
  <c r="E4" i="9" s="1"/>
  <c r="H5" i="9"/>
  <c r="G6" i="11"/>
  <c r="O23" i="4" l="1"/>
  <c r="E8" i="12"/>
  <c r="E3" i="12"/>
  <c r="F26" i="8"/>
  <c r="D21" i="9"/>
  <c r="D13" i="11"/>
  <c r="Q16" i="11" s="1"/>
  <c r="E18" i="9"/>
  <c r="E8" i="9"/>
  <c r="E22" i="9" s="1"/>
  <c r="H6" i="8"/>
  <c r="D13" i="8"/>
  <c r="E13" i="8"/>
  <c r="I6" i="8"/>
  <c r="I9" i="9"/>
  <c r="I23" i="9" s="1"/>
  <c r="H14" i="11"/>
  <c r="U17" i="11" s="1"/>
  <c r="H7" i="8"/>
  <c r="B15" i="8"/>
  <c r="B16" i="8" s="1"/>
  <c r="B12" i="8"/>
  <c r="G19" i="9"/>
  <c r="F5" i="11"/>
  <c r="E3" i="9"/>
  <c r="E17" i="9" s="1"/>
  <c r="D5" i="8"/>
  <c r="F4" i="9" s="1"/>
  <c r="C4" i="8"/>
  <c r="C12" i="8" s="1"/>
  <c r="G5" i="11"/>
  <c r="T6" i="11"/>
  <c r="T5" i="11" s="1"/>
  <c r="I5" i="9"/>
  <c r="H6" i="11"/>
  <c r="H19" i="9"/>
  <c r="H6" i="9"/>
  <c r="H20" i="9" s="1"/>
  <c r="C27" i="4"/>
  <c r="E21" i="9" l="1"/>
  <c r="E13" i="11"/>
  <c r="R16" i="11" s="1"/>
  <c r="F18" i="9"/>
  <c r="F8" i="9"/>
  <c r="F22" i="9" s="1"/>
  <c r="J6" i="8"/>
  <c r="C13" i="8"/>
  <c r="B17" i="8" a="1"/>
  <c r="B17" i="8" s="1"/>
  <c r="D10" i="9" s="1"/>
  <c r="I14" i="11"/>
  <c r="V17" i="11" s="1"/>
  <c r="I7" i="8"/>
  <c r="J9" i="9"/>
  <c r="J23" i="9" s="1"/>
  <c r="E5" i="8"/>
  <c r="G4" i="9" s="1"/>
  <c r="F3" i="9"/>
  <c r="F17" i="9" s="1"/>
  <c r="D4" i="8"/>
  <c r="D12" i="8" s="1"/>
  <c r="H5" i="11"/>
  <c r="U6" i="11"/>
  <c r="U5" i="11" s="1"/>
  <c r="I6" i="9"/>
  <c r="I20" i="9" s="1"/>
  <c r="I19" i="9"/>
  <c r="I6" i="11"/>
  <c r="J5" i="9"/>
  <c r="F5" i="8" l="1"/>
  <c r="H4" i="9" s="1"/>
  <c r="F13" i="11"/>
  <c r="S16" i="11" s="1"/>
  <c r="G18" i="9"/>
  <c r="G8" i="9"/>
  <c r="G22" i="9" s="1"/>
  <c r="F21" i="9"/>
  <c r="K6" i="8"/>
  <c r="N13" i="8" s="1"/>
  <c r="J14" i="11"/>
  <c r="W17" i="11" s="1"/>
  <c r="J7" i="8"/>
  <c r="K9" i="9"/>
  <c r="K23" i="9" s="1"/>
  <c r="G3" i="9"/>
  <c r="G17" i="9" s="1"/>
  <c r="E4" i="8"/>
  <c r="E12" i="8" s="1"/>
  <c r="J6" i="11"/>
  <c r="K5" i="9"/>
  <c r="I5" i="11"/>
  <c r="V6" i="11"/>
  <c r="V5" i="11" s="1"/>
  <c r="J6" i="9"/>
  <c r="J20" i="9" s="1"/>
  <c r="J19" i="9"/>
  <c r="G5" i="8" l="1"/>
  <c r="I4" i="9" s="1"/>
  <c r="G13" i="11"/>
  <c r="T16" i="11" s="1"/>
  <c r="H18" i="9"/>
  <c r="H8" i="9"/>
  <c r="H22" i="9" s="1"/>
  <c r="G21" i="9"/>
  <c r="K14" i="11"/>
  <c r="X17" i="11" s="1"/>
  <c r="L9" i="9"/>
  <c r="L23" i="9" s="1"/>
  <c r="K7" i="8"/>
  <c r="N4" i="8" s="1"/>
  <c r="F22" i="8" s="1"/>
  <c r="H3" i="9"/>
  <c r="H17" i="9" s="1"/>
  <c r="F4" i="8"/>
  <c r="F12" i="8" s="1"/>
  <c r="K19" i="9"/>
  <c r="K6" i="9"/>
  <c r="K20" i="9" s="1"/>
  <c r="W6" i="11"/>
  <c r="W5" i="11" s="1"/>
  <c r="J5" i="11"/>
  <c r="L5" i="9"/>
  <c r="K6" i="11"/>
  <c r="H21" i="9" l="1"/>
  <c r="H5" i="8"/>
  <c r="J4" i="9" s="1"/>
  <c r="I18" i="9"/>
  <c r="H13" i="11"/>
  <c r="U16" i="11" s="1"/>
  <c r="I8" i="9"/>
  <c r="I22" i="9" s="1"/>
  <c r="M9" i="9"/>
  <c r="M23" i="9" s="1"/>
  <c r="L14" i="11"/>
  <c r="Y17" i="11" s="1"/>
  <c r="I3" i="9"/>
  <c r="I17" i="9" s="1"/>
  <c r="G4" i="8"/>
  <c r="G12" i="8" s="1"/>
  <c r="L6" i="11"/>
  <c r="Y6" i="11" s="1"/>
  <c r="M5" i="9"/>
  <c r="K5" i="11"/>
  <c r="X6" i="11"/>
  <c r="X5" i="11" s="1"/>
  <c r="L6" i="9"/>
  <c r="L20" i="9" s="1"/>
  <c r="L19" i="9"/>
  <c r="I5" i="8" l="1"/>
  <c r="K4" i="9" s="1"/>
  <c r="I13" i="11"/>
  <c r="V16" i="11" s="1"/>
  <c r="J18" i="9"/>
  <c r="J8" i="9"/>
  <c r="J22" i="9" s="1"/>
  <c r="I21" i="9"/>
  <c r="J3" i="9"/>
  <c r="J17" i="9" s="1"/>
  <c r="H4" i="8"/>
  <c r="H12" i="8" s="1"/>
  <c r="M6" i="9"/>
  <c r="M20" i="9" s="1"/>
  <c r="M19" i="9"/>
  <c r="J21" i="9" l="1"/>
  <c r="J5" i="8"/>
  <c r="L4" i="9" s="1"/>
  <c r="K18" i="9"/>
  <c r="J13" i="11"/>
  <c r="W16" i="11" s="1"/>
  <c r="K8" i="9"/>
  <c r="K22" i="9" s="1"/>
  <c r="K3" i="9"/>
  <c r="K17" i="9" s="1"/>
  <c r="I4" i="8"/>
  <c r="I12" i="8" s="1"/>
  <c r="K5" i="8" l="1"/>
  <c r="M4" i="9" s="1"/>
  <c r="L18" i="9"/>
  <c r="K13" i="11"/>
  <c r="X16" i="11" s="1"/>
  <c r="L8" i="9"/>
  <c r="L22" i="9" s="1"/>
  <c r="K21" i="9"/>
  <c r="L3" i="9"/>
  <c r="L17" i="9" s="1"/>
  <c r="J4" i="8"/>
  <c r="J12" i="8" s="1"/>
  <c r="L13" i="11" l="1"/>
  <c r="Y16" i="11" s="1"/>
  <c r="K4" i="8"/>
  <c r="K15" i="8" s="1"/>
  <c r="M18" i="9"/>
  <c r="N12" i="8"/>
  <c r="M8" i="9"/>
  <c r="M22" i="9" s="1"/>
  <c r="L21" i="9"/>
  <c r="M3" i="9"/>
  <c r="M17" i="9" s="1"/>
  <c r="F23" i="8" l="1"/>
  <c r="F25" i="8"/>
  <c r="K12" i="8"/>
  <c r="M21" i="9"/>
  <c r="O25" i="4"/>
  <c r="L8" i="11" s="1"/>
  <c r="Y11" i="11" s="1"/>
  <c r="D15" i="8" l="1"/>
  <c r="D16" i="8" s="1"/>
  <c r="D17" i="8" s="1" a="1"/>
  <c r="D17" i="8" s="1"/>
  <c r="F10" i="9" l="1"/>
  <c r="F24" i="9" s="1"/>
  <c r="F26" i="9" s="1"/>
  <c r="F27" i="9" s="1"/>
  <c r="G26" i="4" s="1"/>
  <c r="G27" i="4" s="1"/>
  <c r="E16" i="11"/>
  <c r="D18" i="8"/>
  <c r="R19" i="11" l="1"/>
  <c r="C15" i="8"/>
  <c r="C16" i="8" s="1"/>
  <c r="C17" i="8" s="1" a="1"/>
  <c r="C17" i="8" s="1"/>
  <c r="E10" i="9" l="1"/>
  <c r="E24" i="9" s="1"/>
  <c r="E26" i="9" s="1"/>
  <c r="E27" i="9" s="1"/>
  <c r="F26" i="4" s="1"/>
  <c r="F27" i="4" s="1"/>
  <c r="D16" i="11"/>
  <c r="C18" i="8"/>
  <c r="F15" i="8"/>
  <c r="F16" i="8" s="1"/>
  <c r="F17" i="8" s="1" a="1"/>
  <c r="F17" i="8" s="1"/>
  <c r="E15" i="8"/>
  <c r="E16" i="8" s="1"/>
  <c r="E17" i="8" s="1" a="1"/>
  <c r="E17" i="8" s="1"/>
  <c r="E12" i="11" l="1"/>
  <c r="E10" i="11" s="1"/>
  <c r="E17" i="11" s="1"/>
  <c r="Q19" i="11"/>
  <c r="R15" i="11" l="1"/>
  <c r="E24" i="11"/>
  <c r="H10" i="9"/>
  <c r="H24" i="9" s="1"/>
  <c r="H26" i="9" s="1"/>
  <c r="H27" i="9" s="1"/>
  <c r="G16" i="11"/>
  <c r="G10" i="9"/>
  <c r="G24" i="9" s="1"/>
  <c r="G26" i="9" s="1"/>
  <c r="G27" i="9" s="1"/>
  <c r="F12" i="11" s="1"/>
  <c r="S15" i="11" s="1"/>
  <c r="F16" i="11"/>
  <c r="F18" i="8"/>
  <c r="E18" i="8"/>
  <c r="R13" i="11" l="1"/>
  <c r="R21" i="11" s="1"/>
  <c r="S19" i="11"/>
  <c r="S13" i="11" s="1"/>
  <c r="S21" i="11" s="1"/>
  <c r="H26" i="4"/>
  <c r="H27" i="4" s="1"/>
  <c r="T19" i="11"/>
  <c r="G12" i="11"/>
  <c r="T15" i="11" s="1"/>
  <c r="F10" i="11"/>
  <c r="F17" i="11" s="1"/>
  <c r="I26" i="4"/>
  <c r="I27" i="4" s="1"/>
  <c r="T13" i="11" l="1"/>
  <c r="T21" i="11" s="1"/>
  <c r="F24" i="11"/>
  <c r="G10" i="11"/>
  <c r="G17" i="11" s="1"/>
  <c r="G24" i="11" l="1"/>
  <c r="D24" i="9" l="1"/>
  <c r="D26" i="9" s="1"/>
  <c r="C16" i="11"/>
  <c r="P19" i="11" s="1"/>
  <c r="B18" i="8"/>
  <c r="D27" i="9" l="1"/>
  <c r="C12" i="11" s="1"/>
  <c r="P15" i="11" l="1"/>
  <c r="P13" i="11" s="1"/>
  <c r="P21" i="11" s="1"/>
  <c r="E26" i="4"/>
  <c r="E27" i="4" s="1"/>
  <c r="D12" i="11"/>
  <c r="D10" i="11" s="1"/>
  <c r="D17" i="11" s="1"/>
  <c r="D24" i="11" s="1"/>
  <c r="C10" i="11" l="1"/>
  <c r="C17" i="11" s="1"/>
  <c r="E6" i="12"/>
  <c r="O5" i="11"/>
  <c r="Q15" i="11"/>
  <c r="Q13" i="11" s="1"/>
  <c r="Q21" i="11" s="1"/>
  <c r="C24" i="11" l="1"/>
  <c r="O21" i="11"/>
  <c r="O22" i="11" s="1"/>
  <c r="E17" i="12"/>
  <c r="G17" i="12" s="1"/>
  <c r="E9" i="12"/>
  <c r="G8" i="12" s="1"/>
  <c r="E12" i="12"/>
  <c r="B10" i="11" l="1"/>
  <c r="B17" i="11" s="1"/>
  <c r="B24" i="11" s="1"/>
  <c r="H15" i="8"/>
  <c r="H16" i="8" s="1"/>
  <c r="H17" i="8" s="1" a="1"/>
  <c r="H17" i="8" s="1"/>
  <c r="P22" i="11" l="1"/>
  <c r="Q22" i="11" s="1"/>
  <c r="R22" i="11" s="1"/>
  <c r="S22" i="11" s="1"/>
  <c r="T22" i="11" s="1"/>
  <c r="B25" i="11"/>
  <c r="B18" i="11"/>
  <c r="C18" i="11" s="1"/>
  <c r="D18" i="11" s="1"/>
  <c r="E18" i="11" s="1"/>
  <c r="F18" i="11" s="1"/>
  <c r="G18" i="11" s="1"/>
  <c r="H18" i="8"/>
  <c r="C25" i="11" l="1"/>
  <c r="D25" i="11" s="1"/>
  <c r="E25" i="11" s="1"/>
  <c r="F25" i="11" s="1"/>
  <c r="G25" i="11" s="1"/>
  <c r="I16" i="11"/>
  <c r="V19" i="11" s="1"/>
  <c r="J10" i="9"/>
  <c r="J24" i="9" s="1"/>
  <c r="J26" i="9" s="1"/>
  <c r="J27" i="9" s="1"/>
  <c r="K26" i="4" l="1"/>
  <c r="K27" i="4" s="1"/>
  <c r="J15" i="8" l="1"/>
  <c r="J16" i="8" s="1"/>
  <c r="J17" i="8" s="1" a="1"/>
  <c r="J17" i="8" s="1"/>
  <c r="L10" i="9" l="1"/>
  <c r="L24" i="9" s="1"/>
  <c r="L26" i="9" s="1"/>
  <c r="L27" i="9" s="1"/>
  <c r="K16" i="11"/>
  <c r="X19" i="11" s="1"/>
  <c r="J18" i="8"/>
  <c r="M26" i="4" l="1"/>
  <c r="M27" i="4" s="1"/>
  <c r="I15" i="8" l="1"/>
  <c r="I16" i="8" s="1"/>
  <c r="I17" i="8" s="1" a="1"/>
  <c r="I17" i="8" s="1"/>
  <c r="J16" i="11" l="1"/>
  <c r="W19" i="11" s="1"/>
  <c r="K10" i="9"/>
  <c r="K24" i="9" s="1"/>
  <c r="K26" i="9" s="1"/>
  <c r="K27" i="9" s="1"/>
  <c r="I18" i="8"/>
  <c r="L26" i="4" l="1"/>
  <c r="L27" i="4" s="1"/>
  <c r="J12" i="11"/>
  <c r="K12" i="11"/>
  <c r="K10" i="11" l="1"/>
  <c r="K17" i="11" s="1"/>
  <c r="X15" i="11"/>
  <c r="X13" i="11" s="1"/>
  <c r="X21" i="11" s="1"/>
  <c r="W15" i="11"/>
  <c r="W13" i="11" s="1"/>
  <c r="W21" i="11" s="1"/>
  <c r="J10" i="11"/>
  <c r="J17" i="11" s="1"/>
  <c r="J24" i="11" l="1"/>
  <c r="K24" i="11"/>
  <c r="K16" i="8" l="1"/>
  <c r="K17" i="8" s="1" a="1"/>
  <c r="K17" i="8" s="1"/>
  <c r="K18" i="8" l="1"/>
  <c r="E5" i="12" l="1"/>
  <c r="G5" i="12" s="1"/>
  <c r="E2" i="12"/>
  <c r="G2" i="12" s="1"/>
  <c r="E11" i="12"/>
  <c r="G11" i="12" s="1"/>
  <c r="L16" i="11"/>
  <c r="Y19" i="11" s="1"/>
  <c r="M10" i="9"/>
  <c r="M24" i="9" s="1"/>
  <c r="M26" i="9" s="1"/>
  <c r="M27" i="9" s="1"/>
  <c r="L12" i="11" l="1"/>
  <c r="L9" i="11"/>
  <c r="N26" i="4"/>
  <c r="N27" i="4" s="1"/>
  <c r="O26" i="4" l="1"/>
  <c r="O27" i="4" s="1"/>
  <c r="L7" i="11"/>
  <c r="Y12" i="11"/>
  <c r="L10" i="11"/>
  <c r="Y15" i="11"/>
  <c r="Y13" i="11" s="1"/>
  <c r="Y10" i="11" l="1"/>
  <c r="Y5" i="11" s="1"/>
  <c r="Y21" i="11" s="1"/>
  <c r="L5" i="11"/>
  <c r="L17" i="11" s="1"/>
  <c r="L24" i="11" l="1"/>
  <c r="G15" i="8"/>
  <c r="G16" i="8" s="1"/>
  <c r="G17" i="8" s="1" a="1"/>
  <c r="G17" i="8" s="1"/>
  <c r="G18" i="8" l="1"/>
  <c r="H16" i="11" l="1"/>
  <c r="U19" i="11" s="1"/>
  <c r="I10" i="9"/>
  <c r="I24" i="9" s="1"/>
  <c r="I26" i="9" s="1"/>
  <c r="I27" i="9" s="1"/>
  <c r="I12" i="11" l="1"/>
  <c r="J26" i="4"/>
  <c r="J27" i="4" s="1"/>
  <c r="H12" i="11"/>
  <c r="H10" i="11" l="1"/>
  <c r="H17" i="11" s="1"/>
  <c r="U15" i="11"/>
  <c r="U13" i="11" s="1"/>
  <c r="U21" i="11" s="1"/>
  <c r="U22" i="11" s="1"/>
  <c r="I10" i="11"/>
  <c r="I17" i="11" s="1"/>
  <c r="V15" i="11"/>
  <c r="V13" i="11" s="1"/>
  <c r="V21" i="11" s="1"/>
  <c r="B33" i="11" l="1"/>
  <c r="E35" i="11" s="1"/>
  <c r="B31" i="11"/>
  <c r="V22" i="11"/>
  <c r="W22" i="11" s="1"/>
  <c r="X22" i="11" s="1"/>
  <c r="Y22" i="11" s="1"/>
  <c r="I24" i="11"/>
  <c r="H18" i="11"/>
  <c r="I18" i="11" s="1"/>
  <c r="B20" i="11" s="1"/>
  <c r="H24" i="11"/>
  <c r="B27" i="11" s="1"/>
  <c r="B30" i="11" l="1"/>
  <c r="B42" i="11"/>
  <c r="B41" i="11" s="1"/>
  <c r="J18" i="11"/>
  <c r="K18" i="11" s="1"/>
  <c r="L18" i="11" s="1"/>
  <c r="B37" i="11"/>
  <c r="B38" i="11" s="1"/>
  <c r="C37" i="11"/>
  <c r="H37" i="11"/>
  <c r="H25" i="11"/>
  <c r="I25" i="11" s="1"/>
  <c r="J25" i="11" s="1"/>
  <c r="K25" i="11" s="1"/>
  <c r="L25" i="11" s="1"/>
  <c r="D37" i="11"/>
  <c r="G37" i="11"/>
  <c r="K37" i="11"/>
  <c r="L37" i="11"/>
  <c r="F37" i="11"/>
  <c r="E37" i="11"/>
  <c r="J37" i="11"/>
  <c r="I37" i="11"/>
  <c r="C38" i="11" l="1"/>
  <c r="D38" i="11" s="1"/>
  <c r="E38" i="11" s="1"/>
  <c r="F38" i="11" s="1"/>
  <c r="G38" i="11" s="1"/>
  <c r="H38" i="11" s="1"/>
  <c r="I38" i="11" s="1"/>
  <c r="J38" i="11" s="1"/>
  <c r="K38" i="11" s="1"/>
  <c r="L38" i="11" s="1"/>
  <c r="N14" i="8"/>
  <c r="H25" i="8"/>
  <c r="H22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<sst xmlns="http://schemas.openxmlformats.org/spreadsheetml/2006/main" count="1372" uniqueCount="886">
  <si>
    <t>Naziv troška</t>
  </si>
  <si>
    <t>Ukupan iznos</t>
  </si>
  <si>
    <t>Rezervacija imena tvrtke</t>
  </si>
  <si>
    <t>Registracija djelatnosti</t>
  </si>
  <si>
    <t>Ovjera dokumentacije kod javnog bilježnika</t>
  </si>
  <si>
    <t>Upis u sudski registar</t>
  </si>
  <si>
    <t>Izrada pečata</t>
  </si>
  <si>
    <t>Ukupno</t>
  </si>
  <si>
    <t>Trošak otvaranja d.o.o.</t>
  </si>
  <si>
    <t>Jedinična cijena</t>
  </si>
  <si>
    <t>Količina</t>
  </si>
  <si>
    <t>Mjerna jedinica</t>
  </si>
  <si>
    <t>radni dan</t>
  </si>
  <si>
    <t>Boja za prebojavanje zidova</t>
  </si>
  <si>
    <t>L</t>
  </si>
  <si>
    <t>Troškovi renovacije objekta</t>
  </si>
  <si>
    <t>Čišćenje prijašnjeg prostora</t>
  </si>
  <si>
    <t>Instalacija kuhinjske opreme</t>
  </si>
  <si>
    <t>Naziv opreme</t>
  </si>
  <si>
    <t>Iznos</t>
  </si>
  <si>
    <t>Hladnjak</t>
  </si>
  <si>
    <t>Pećnica</t>
  </si>
  <si>
    <t xml:space="preserve">Ploča za kuhanje </t>
  </si>
  <si>
    <t>Kuhinjski robot</t>
  </si>
  <si>
    <t>Štapni mikser</t>
  </si>
  <si>
    <t>Radna površina</t>
  </si>
  <si>
    <t>Kalupi</t>
  </si>
  <si>
    <t>Tepsije</t>
  </si>
  <si>
    <t>Kuhalo za vodu</t>
  </si>
  <si>
    <t>Alati za dekoraciju (set)</t>
  </si>
  <si>
    <t>Troškovi opremanja objekta</t>
  </si>
  <si>
    <t>Struktura ulaganja</t>
  </si>
  <si>
    <t>Obračun amortizacije</t>
  </si>
  <si>
    <t>Opis</t>
  </si>
  <si>
    <t>Vlastita sredstva</t>
  </si>
  <si>
    <t>Kredit</t>
  </si>
  <si>
    <t>Postotak amortizacije</t>
  </si>
  <si>
    <t>Amortizacija</t>
  </si>
  <si>
    <t>A. Ulaganje u osnovna sredstva</t>
  </si>
  <si>
    <t>1.</t>
  </si>
  <si>
    <t>Osnivačka ulaganja</t>
  </si>
  <si>
    <t>2.</t>
  </si>
  <si>
    <t>3.</t>
  </si>
  <si>
    <t>Oprema</t>
  </si>
  <si>
    <t>B. Ulaganje u trajna obrtna sredstva</t>
  </si>
  <si>
    <t>Ukupan iznos amortizacije</t>
  </si>
  <si>
    <t>C. Ukupan iznos ulaganja</t>
  </si>
  <si>
    <t>Prikaz amortizacije</t>
  </si>
  <si>
    <t>Red.br.</t>
  </si>
  <si>
    <t>NAZIV</t>
  </si>
  <si>
    <t>Nabavna vrijednost investicije</t>
  </si>
  <si>
    <t>Stopa otpisa</t>
  </si>
  <si>
    <t>Godine rada projekta</t>
  </si>
  <si>
    <t>OVP</t>
  </si>
  <si>
    <t>A</t>
  </si>
  <si>
    <t>INVESTICIJA</t>
  </si>
  <si>
    <t>B</t>
  </si>
  <si>
    <t>SVEUKUPNO</t>
  </si>
  <si>
    <t>C</t>
  </si>
  <si>
    <t>OST. VRIJED. PROJEKTA</t>
  </si>
  <si>
    <t>Osnovna sredstva</t>
  </si>
  <si>
    <t>TOBS</t>
  </si>
  <si>
    <t>UKUPNO</t>
  </si>
  <si>
    <t>Troškovi izrade i održavanja aplikacije</t>
  </si>
  <si>
    <t>Izrada aplikacije</t>
  </si>
  <si>
    <t>Održavanje aplikacije</t>
  </si>
  <si>
    <t>godina</t>
  </si>
  <si>
    <t>Aplikacija</t>
  </si>
  <si>
    <t>R.B.</t>
  </si>
  <si>
    <t>Usluga</t>
  </si>
  <si>
    <t>Jedinica mjere</t>
  </si>
  <si>
    <t>Ukupni mjesečni prihodi</t>
  </si>
  <si>
    <t>Ukupni godišnji prihod</t>
  </si>
  <si>
    <t>Čokoladna torta - 24 cm</t>
  </si>
  <si>
    <t>Čokoladna torta - 28 cm</t>
  </si>
  <si>
    <t>Tops (Jaffa Cakes) torta - 24 cm</t>
  </si>
  <si>
    <t>Tops (Jaffa Cakes) torta - 28 cm</t>
  </si>
  <si>
    <t>Schwarzwald torta - 24 cm</t>
  </si>
  <si>
    <t>Schwarzwald torta - 28 cm</t>
  </si>
  <si>
    <t>Monte torta - 24 cm</t>
  </si>
  <si>
    <t>Monte torta - 28 cm</t>
  </si>
  <si>
    <t>torta</t>
  </si>
  <si>
    <t>Naziv radnog mjesta</t>
  </si>
  <si>
    <t>Broj radnika</t>
  </si>
  <si>
    <t>Neto plaća</t>
  </si>
  <si>
    <t>Bruto plaća</t>
  </si>
  <si>
    <t>Ukupna godišnja plaća</t>
  </si>
  <si>
    <t>Dostavljač</t>
  </si>
  <si>
    <t>Ukupni troškovi</t>
  </si>
  <si>
    <t>Ukupni trošak investicije</t>
  </si>
  <si>
    <t>Izračun bruto plaće</t>
  </si>
  <si>
    <t>1. Stup mirovinskog osiguranja</t>
  </si>
  <si>
    <t>2. Stup mirovinskog osiguranja</t>
  </si>
  <si>
    <t>Ukupno doprinos iz bruta</t>
  </si>
  <si>
    <t>Oporezivi dohodak</t>
  </si>
  <si>
    <t>Ukupni porez</t>
  </si>
  <si>
    <t>Ukupni prirez</t>
  </si>
  <si>
    <t>Ukupni porez i prirez</t>
  </si>
  <si>
    <t>Ukupna olakšica</t>
  </si>
  <si>
    <t>Bruto 2</t>
  </si>
  <si>
    <t xml:space="preserve">Doprinos za zdravstveno osiguranje </t>
  </si>
  <si>
    <t>Ukupno doprinosi na bruto</t>
  </si>
  <si>
    <t>Troškovi energenata</t>
  </si>
  <si>
    <t>Godišnja količina</t>
  </si>
  <si>
    <t>Cijena po jedinici mjere</t>
  </si>
  <si>
    <t>Godišnji trošak</t>
  </si>
  <si>
    <t>Električna energija</t>
  </si>
  <si>
    <t>kWh</t>
  </si>
  <si>
    <t>Voda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</si>
  <si>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</si>
  <si>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Plaće</t>
  </si>
  <si>
    <t>Ostali troškovi</t>
  </si>
  <si>
    <t>Osiguranje</t>
  </si>
  <si>
    <t>mjesec</t>
  </si>
  <si>
    <t>Komunalna naknada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</si>
  <si>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</si>
  <si>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Knjigovodstvene usluge</t>
  </si>
  <si>
    <t>Ukupni ostali troškovi</t>
  </si>
  <si>
    <t>Ukupni godišnji trošak</t>
  </si>
  <si>
    <t>Troškovi oglašavanja</t>
  </si>
  <si>
    <t>Oglašavanje</t>
  </si>
  <si>
    <t>Troškovi oglašavanje</t>
  </si>
  <si>
    <t>CPC</t>
  </si>
  <si>
    <t>Gorivo</t>
  </si>
  <si>
    <t>l</t>
  </si>
  <si>
    <t>Poček</t>
  </si>
  <si>
    <t>Otplata kredita</t>
  </si>
  <si>
    <t>Godišnje</t>
  </si>
  <si>
    <t>Naknada za obradu kredita</t>
  </si>
  <si>
    <t>Otplata</t>
  </si>
  <si>
    <t xml:space="preserve">Visina anuiteta </t>
  </si>
  <si>
    <t>Kamate</t>
  </si>
  <si>
    <t>Godišnja kamatna stopa (Rate)</t>
  </si>
  <si>
    <t>Broj anuiteta (Nper)</t>
  </si>
  <si>
    <t>Visina zajma (PV)</t>
  </si>
  <si>
    <t xml:space="preserve">Prenumerando (1) </t>
  </si>
  <si>
    <t>Broj ukamaćivanja tijekom godine - m</t>
  </si>
  <si>
    <t>Relativna kamatna stopa</t>
  </si>
  <si>
    <t>Broj godina počeka</t>
  </si>
  <si>
    <t>Račun dobiti i dobitka</t>
  </si>
  <si>
    <t>Prihod</t>
  </si>
  <si>
    <t>Operativni rashodi</t>
  </si>
  <si>
    <t>Trošak energenata</t>
  </si>
  <si>
    <t>Trošak zaposlenika</t>
  </si>
  <si>
    <t>EBITDA</t>
  </si>
  <si>
    <t>Ukupni rashodi</t>
  </si>
  <si>
    <t>Dobit prije poreza</t>
  </si>
  <si>
    <t>Porez (10%)</t>
  </si>
  <si>
    <t>Neto dobit</t>
  </si>
  <si>
    <t>1. FIKSNI TROŠKOVI</t>
  </si>
  <si>
    <t>GMIN</t>
  </si>
  <si>
    <t>=</t>
  </si>
  <si>
    <t>FT</t>
  </si>
  <si>
    <t>UP-VT</t>
  </si>
  <si>
    <t>Trošak zaposlenika (R)</t>
  </si>
  <si>
    <t>JMIN</t>
  </si>
  <si>
    <t>FT+VT</t>
  </si>
  <si>
    <t>UP</t>
  </si>
  <si>
    <t>2. VARIJABILNI TROŠKOVI</t>
  </si>
  <si>
    <t>3.UKUPNI TROŠKOVI</t>
  </si>
  <si>
    <t>Potrebna TOBS</t>
  </si>
  <si>
    <t>Stavka</t>
  </si>
  <si>
    <t>DV</t>
  </si>
  <si>
    <t>KO</t>
  </si>
  <si>
    <t>Ukupna svota</t>
  </si>
  <si>
    <t>Kupci</t>
  </si>
  <si>
    <t>Novac u sustavu</t>
  </si>
  <si>
    <t>Ukupno potrebna sredstva</t>
  </si>
  <si>
    <t>Dobavljači</t>
  </si>
  <si>
    <t>Porezi</t>
  </si>
  <si>
    <t>Rashodi financiranja</t>
  </si>
  <si>
    <t>Izvodi iz poslovanja</t>
  </si>
  <si>
    <t>Trajna obrtna sredstva</t>
  </si>
  <si>
    <t>Potreban iznos</t>
  </si>
  <si>
    <t>Troškovi održavanja aplikacije</t>
  </si>
  <si>
    <t>Troškovi namirnica</t>
  </si>
  <si>
    <t>Mlijeko</t>
  </si>
  <si>
    <t>Naziv namirnice</t>
  </si>
  <si>
    <t>Ukupni mjesečni trošak</t>
  </si>
  <si>
    <t>Lonci</t>
  </si>
  <si>
    <t>Plastične zdjele</t>
  </si>
  <si>
    <t xml:space="preserve">Ručni mikser </t>
  </si>
  <si>
    <t>Pribor za torte (set)</t>
  </si>
  <si>
    <t>Glavna slastičarka</t>
  </si>
  <si>
    <t>Čokoladna torta - 26 cm</t>
  </si>
  <si>
    <t>Tops (Jaffa Cakes) torta - 26 cm</t>
  </si>
  <si>
    <t>Cheese Cake - 26 cm</t>
  </si>
  <si>
    <t>Schwarzwald torta - 26 cm</t>
  </si>
  <si>
    <t>Monte torta - 26 cm</t>
  </si>
  <si>
    <t>suhi kolači</t>
  </si>
  <si>
    <t>Dekoracija - malo</t>
  </si>
  <si>
    <t>Dekoracija - puno</t>
  </si>
  <si>
    <t>ChocoOrange Cake - 24 cm</t>
  </si>
  <si>
    <t>ChocoOrange Cake - 26 cm</t>
  </si>
  <si>
    <t>ChocoOrange Cake - 28 cm</t>
  </si>
  <si>
    <t>Broj komada</t>
  </si>
  <si>
    <t>Voćna torta (bijela s bademima)  - 24 cm</t>
  </si>
  <si>
    <t>Voćna torta (bijela s bademima)  - 26 cm</t>
  </si>
  <si>
    <t>Voćna torta (bijela s bademima)  - 28 cm</t>
  </si>
  <si>
    <t>namirnice/kolač</t>
  </si>
  <si>
    <t>orahovi mjeseci</t>
  </si>
  <si>
    <t>žarbo šnite</t>
  </si>
  <si>
    <t>london štanglice</t>
  </si>
  <si>
    <t>kokos kiflice</t>
  </si>
  <si>
    <t>oblatne</t>
  </si>
  <si>
    <t>bananice</t>
  </si>
  <si>
    <t>roler oblatne</t>
  </si>
  <si>
    <t>trokutići s lješnjacima</t>
  </si>
  <si>
    <t>bijela pita</t>
  </si>
  <si>
    <t>kapice</t>
  </si>
  <si>
    <t>cijena po namirnicima</t>
  </si>
  <si>
    <t>cijena po kg//l/kom</t>
  </si>
  <si>
    <t>šećer</t>
  </si>
  <si>
    <t>maslac</t>
  </si>
  <si>
    <t>jaja</t>
  </si>
  <si>
    <t>p za p</t>
  </si>
  <si>
    <t>orasi</t>
  </si>
  <si>
    <t>mast</t>
  </si>
  <si>
    <t>mlijeko</t>
  </si>
  <si>
    <t>čokolada za kuhanje</t>
  </si>
  <si>
    <t>naranča</t>
  </si>
  <si>
    <t>slatko vrhnje</t>
  </si>
  <si>
    <t>tops</t>
  </si>
  <si>
    <t>lješnjaci</t>
  </si>
  <si>
    <t>kiselo vrhnje</t>
  </si>
  <si>
    <t>kokos</t>
  </si>
  <si>
    <t>šećer u prahu</t>
  </si>
  <si>
    <t>kakao</t>
  </si>
  <si>
    <t>roleri</t>
  </si>
  <si>
    <t>kutije za kolače</t>
  </si>
  <si>
    <t>ukupno</t>
  </si>
  <si>
    <t>po jednoj mjeri kg kolača</t>
  </si>
  <si>
    <t>izađe kg</t>
  </si>
  <si>
    <t>1 kg</t>
  </si>
  <si>
    <t>KM</t>
  </si>
  <si>
    <t>Torta od topsa</t>
  </si>
  <si>
    <t>Čokoladna</t>
  </si>
  <si>
    <t>Monte torta</t>
  </si>
  <si>
    <t>bademi u listićima</t>
  </si>
  <si>
    <t>vrhnje za kuhanje</t>
  </si>
  <si>
    <t>abc</t>
  </si>
  <si>
    <t>voćni jogurt</t>
  </si>
  <si>
    <t>bijela čokolada</t>
  </si>
  <si>
    <t>podmetači za tortu</t>
  </si>
  <si>
    <t>jagode</t>
  </si>
  <si>
    <t>višnje</t>
  </si>
  <si>
    <t>želatina</t>
  </si>
  <si>
    <t>preljev za torte</t>
  </si>
  <si>
    <t>mljeveni keks</t>
  </si>
  <si>
    <t>monte</t>
  </si>
  <si>
    <t>završni rad</t>
  </si>
  <si>
    <t>cijena u EUR-ima</t>
  </si>
  <si>
    <t>EUR</t>
  </si>
  <si>
    <t>cijena 24 promjera</t>
  </si>
  <si>
    <t>cijena 28 promjera</t>
  </si>
  <si>
    <t>kg</t>
  </si>
  <si>
    <t>litar</t>
  </si>
  <si>
    <t>100 gr</t>
  </si>
  <si>
    <t>kom</t>
  </si>
  <si>
    <t>pakovanje</t>
  </si>
  <si>
    <t>Šećer</t>
  </si>
  <si>
    <t>Maslac</t>
  </si>
  <si>
    <t>Jaja</t>
  </si>
  <si>
    <t>Orasi</t>
  </si>
  <si>
    <t>Mast</t>
  </si>
  <si>
    <t>Čokolada za kuhanje</t>
  </si>
  <si>
    <t>Naranča</t>
  </si>
  <si>
    <t>Slatko vrhnje</t>
  </si>
  <si>
    <t>Tops</t>
  </si>
  <si>
    <t>Lješnjaci</t>
  </si>
  <si>
    <t>Bananice</t>
  </si>
  <si>
    <t>Oblatne</t>
  </si>
  <si>
    <t>Kiselo vrhnje</t>
  </si>
  <si>
    <t>Kokos</t>
  </si>
  <si>
    <t>Šećer u prahu</t>
  </si>
  <si>
    <t>Kakao</t>
  </si>
  <si>
    <t>Roleri</t>
  </si>
  <si>
    <t>Bademi u listićima</t>
  </si>
  <si>
    <t>Vrhnje za kuhanje</t>
  </si>
  <si>
    <t>Abc</t>
  </si>
  <si>
    <t>Voćni jogurt</t>
  </si>
  <si>
    <t>Bijela čokolada</t>
  </si>
  <si>
    <t>Podmetači za tortu</t>
  </si>
  <si>
    <t>Jagode</t>
  </si>
  <si>
    <t>Višnje</t>
  </si>
  <si>
    <t>Želatina</t>
  </si>
  <si>
    <t>Preljev za torte</t>
  </si>
  <si>
    <t>Mljeveni keks</t>
  </si>
  <si>
    <t>Monte</t>
  </si>
  <si>
    <t>Završni rad</t>
  </si>
  <si>
    <t>Kutije za kolače</t>
  </si>
  <si>
    <t>Ulje</t>
  </si>
  <si>
    <t>Rentabilnost projekta</t>
  </si>
  <si>
    <t>Likvidnost projekta</t>
  </si>
  <si>
    <t>EKONOMSKI TIJEK</t>
  </si>
  <si>
    <t>FINANCIJSKI TIJEK</t>
  </si>
  <si>
    <t>OPIS</t>
  </si>
  <si>
    <t>I PRIMICI</t>
  </si>
  <si>
    <t>1. Ukupni prihod</t>
  </si>
  <si>
    <t>2. OVP</t>
  </si>
  <si>
    <t>2. Izvori financiranja</t>
  </si>
  <si>
    <t>2.1. Osnovnih sredstava</t>
  </si>
  <si>
    <t>2.1. Vlastito ulaganje</t>
  </si>
  <si>
    <t>2.2. Obrtnih sredstava</t>
  </si>
  <si>
    <t>2.2. Kredit</t>
  </si>
  <si>
    <t>II IZDACI</t>
  </si>
  <si>
    <t>3. OVP</t>
  </si>
  <si>
    <t>III NETO PRIMICI</t>
  </si>
  <si>
    <t>IV KUMULATIV NP</t>
  </si>
  <si>
    <t>Vrijeme povrata</t>
  </si>
  <si>
    <t>Proračun diskontiranog povrata uloženih sredstava</t>
  </si>
  <si>
    <t>Godina projekta</t>
  </si>
  <si>
    <t xml:space="preserve">DNT </t>
  </si>
  <si>
    <t>Kumulativ DNT</t>
  </si>
  <si>
    <t>Diskontirano vrijeme povrata</t>
  </si>
  <si>
    <t>NPV (4%)</t>
  </si>
  <si>
    <t>IRR</t>
  </si>
  <si>
    <t>Provjera interne stope rentabilnosti</t>
  </si>
  <si>
    <t>Indeks profitabilnosti</t>
  </si>
  <si>
    <t>Suma DNT (4%)</t>
  </si>
  <si>
    <t>Ulaganje</t>
  </si>
  <si>
    <t xml:space="preserve">Profitna marža </t>
  </si>
  <si>
    <t>Ukupni prihod</t>
  </si>
  <si>
    <t>Rentabilnost ukupno uloženih sredstava</t>
  </si>
  <si>
    <t>Visina investicije</t>
  </si>
  <si>
    <t>Obrtaj ukupno uloženih sredstava</t>
  </si>
  <si>
    <t>Reprodukcijska sposobnost</t>
  </si>
  <si>
    <t>Neto dobit + amortizacija</t>
  </si>
  <si>
    <t>Ostali pokazatelji statičke ocjene:</t>
  </si>
  <si>
    <t>Investicijsko opterećenje po zaposlenom</t>
  </si>
  <si>
    <t xml:space="preserve">Broj zaposlenih </t>
  </si>
  <si>
    <t>Iznos plaća</t>
  </si>
  <si>
    <t xml:space="preserve">Prosječna bruto plaća </t>
  </si>
  <si>
    <t xml:space="preserve">Razdoblje </t>
  </si>
  <si>
    <t>PERIOD</t>
  </si>
  <si>
    <t>DATUM DOSPIJEĆA</t>
  </si>
  <si>
    <t>OTPLATNI OBROK</t>
  </si>
  <si>
    <t>GLAVNICA</t>
  </si>
  <si>
    <t>KAMATA</t>
  </si>
  <si>
    <t>STANJE KREDITA</t>
  </si>
  <si>
    <t>22.05.2023.</t>
  </si>
  <si>
    <t>0,00 €</t>
  </si>
  <si>
    <t>35.570,00 €</t>
  </si>
  <si>
    <t>01.06.2023.</t>
  </si>
  <si>
    <t>58,30 €</t>
  </si>
  <si>
    <t>01.07.2023.</t>
  </si>
  <si>
    <t>393,12 €</t>
  </si>
  <si>
    <t>218,23 €</t>
  </si>
  <si>
    <t>174,89 €</t>
  </si>
  <si>
    <t>35.351,77 €</t>
  </si>
  <si>
    <t>01.08.2023.</t>
  </si>
  <si>
    <t>219,30 €</t>
  </si>
  <si>
    <t>173,82 €</t>
  </si>
  <si>
    <t>35.132,47 €</t>
  </si>
  <si>
    <t>01.09.2023.</t>
  </si>
  <si>
    <t>220,38 €</t>
  </si>
  <si>
    <t>172,74 €</t>
  </si>
  <si>
    <t>34.912,09 €</t>
  </si>
  <si>
    <t>01.10.2023.</t>
  </si>
  <si>
    <t>221,46 €</t>
  </si>
  <si>
    <t>171,66 €</t>
  </si>
  <si>
    <t>34.690,62 €</t>
  </si>
  <si>
    <t>01.11.2023.</t>
  </si>
  <si>
    <t>222,55 €</t>
  </si>
  <si>
    <t>170,57 €</t>
  </si>
  <si>
    <t>34.468,07 €</t>
  </si>
  <si>
    <t>01.12.2023.</t>
  </si>
  <si>
    <t>223,65 €</t>
  </si>
  <si>
    <t>169,47 €</t>
  </si>
  <si>
    <t>34.244,42 €</t>
  </si>
  <si>
    <t>01.01.2024.</t>
  </si>
  <si>
    <t>224,75 €</t>
  </si>
  <si>
    <t>168,37 €</t>
  </si>
  <si>
    <t>34.019,67 €</t>
  </si>
  <si>
    <t>01.02.2024.</t>
  </si>
  <si>
    <t>225,85 €</t>
  </si>
  <si>
    <t>167,27 €</t>
  </si>
  <si>
    <t>33.793,82 €</t>
  </si>
  <si>
    <t>01.03.2024.</t>
  </si>
  <si>
    <t>226,96 €</t>
  </si>
  <si>
    <t>166,16 €</t>
  </si>
  <si>
    <t>33.566,85 €</t>
  </si>
  <si>
    <t>01.04.2024.</t>
  </si>
  <si>
    <t>228,08 €</t>
  </si>
  <si>
    <t>165,04 €</t>
  </si>
  <si>
    <t>33.338,78 €</t>
  </si>
  <si>
    <t>01.05.2024.</t>
  </si>
  <si>
    <t>229,20 €</t>
  </si>
  <si>
    <t>163,92 €</t>
  </si>
  <si>
    <t>33.109,58 €</t>
  </si>
  <si>
    <t>01.06.2024.</t>
  </si>
  <si>
    <t>230,33 €</t>
  </si>
  <si>
    <t>162,79 €</t>
  </si>
  <si>
    <t>32.879,25 €</t>
  </si>
  <si>
    <t>01.07.2024.</t>
  </si>
  <si>
    <t>231,46 €</t>
  </si>
  <si>
    <t>161,66 €</t>
  </si>
  <si>
    <t>32.647,79 €</t>
  </si>
  <si>
    <t>01.08.2024.</t>
  </si>
  <si>
    <t>232,60 €</t>
  </si>
  <si>
    <t>160,52 €</t>
  </si>
  <si>
    <t>32.415,19 €</t>
  </si>
  <si>
    <t>01.09.2024.</t>
  </si>
  <si>
    <t>233,74 €</t>
  </si>
  <si>
    <t>159,38 €</t>
  </si>
  <si>
    <t>32.181,45 €</t>
  </si>
  <si>
    <t>01.10.2024.</t>
  </si>
  <si>
    <t>234,89 €</t>
  </si>
  <si>
    <t>158,23 €</t>
  </si>
  <si>
    <t>31.946,56 €</t>
  </si>
  <si>
    <t>01.11.2024.</t>
  </si>
  <si>
    <t>236,05 €</t>
  </si>
  <si>
    <t>157,07 €</t>
  </si>
  <si>
    <t>31.710,51 €</t>
  </si>
  <si>
    <t>01.12.2024.</t>
  </si>
  <si>
    <t>237,21 €</t>
  </si>
  <si>
    <t>155,91 €</t>
  </si>
  <si>
    <t>31.473,31 €</t>
  </si>
  <si>
    <t>01.01.2025.</t>
  </si>
  <si>
    <t>238,37 €</t>
  </si>
  <si>
    <t>154,75 €</t>
  </si>
  <si>
    <t>31.234,93 €</t>
  </si>
  <si>
    <t>01.02.2025.</t>
  </si>
  <si>
    <t>239,54 €</t>
  </si>
  <si>
    <t>153,58 €</t>
  </si>
  <si>
    <t>30.995,39 €</t>
  </si>
  <si>
    <t>01.03.2025.</t>
  </si>
  <si>
    <t>240,72 €</t>
  </si>
  <si>
    <t>152,40 €</t>
  </si>
  <si>
    <t>30.754,67 €</t>
  </si>
  <si>
    <t>01.04.2025.</t>
  </si>
  <si>
    <t>241,91 €</t>
  </si>
  <si>
    <t>151,21 €</t>
  </si>
  <si>
    <t>30.512,76 €</t>
  </si>
  <si>
    <t>01.05.2025.</t>
  </si>
  <si>
    <t>243,09 €</t>
  </si>
  <si>
    <t>150,03 €</t>
  </si>
  <si>
    <t>30.269,67 €</t>
  </si>
  <si>
    <t>01.06.2025.</t>
  </si>
  <si>
    <t>244,29 €</t>
  </si>
  <si>
    <t>148,83 €</t>
  </si>
  <si>
    <t>30.025,38 €</t>
  </si>
  <si>
    <t>01.07.2025.</t>
  </si>
  <si>
    <t>245,49 €</t>
  </si>
  <si>
    <t>147,63 €</t>
  </si>
  <si>
    <t>29.779,89 €</t>
  </si>
  <si>
    <t>01.08.2025.</t>
  </si>
  <si>
    <t>246,70 €</t>
  </si>
  <si>
    <t>146,42 €</t>
  </si>
  <si>
    <t>29.533,19 €</t>
  </si>
  <si>
    <t>01.09.2025.</t>
  </si>
  <si>
    <t>247,91 €</t>
  </si>
  <si>
    <t>145,21 €</t>
  </si>
  <si>
    <t>29.285,28 €</t>
  </si>
  <si>
    <t>01.10.2025.</t>
  </si>
  <si>
    <t>249,13 €</t>
  </si>
  <si>
    <t>143,99 €</t>
  </si>
  <si>
    <t>29.036,15 €</t>
  </si>
  <si>
    <t>01.11.2025.</t>
  </si>
  <si>
    <t>250,35 €</t>
  </si>
  <si>
    <t>142,77 €</t>
  </si>
  <si>
    <t>28.785,79 €</t>
  </si>
  <si>
    <t>01.12.2025.</t>
  </si>
  <si>
    <t>251,59 €</t>
  </si>
  <si>
    <t>141,53 €</t>
  </si>
  <si>
    <t>28.534,21 €</t>
  </si>
  <si>
    <t>01.01.2026.</t>
  </si>
  <si>
    <t>252,82 €</t>
  </si>
  <si>
    <t>140,30 €</t>
  </si>
  <si>
    <t>28.281,38 €</t>
  </si>
  <si>
    <t>01.02.2026.</t>
  </si>
  <si>
    <t>254,07 €</t>
  </si>
  <si>
    <t>139,05 €</t>
  </si>
  <si>
    <t>28.027,32 €</t>
  </si>
  <si>
    <t>01.03.2026.</t>
  </si>
  <si>
    <t>255,32 €</t>
  </si>
  <si>
    <t>137,80 €</t>
  </si>
  <si>
    <t>27.772,00 €</t>
  </si>
  <si>
    <t>01.04.2026.</t>
  </si>
  <si>
    <t>256,57 €</t>
  </si>
  <si>
    <t>136,55 €</t>
  </si>
  <si>
    <t>27.515,43 €</t>
  </si>
  <si>
    <t>01.05.2026.</t>
  </si>
  <si>
    <t>257,83 €</t>
  </si>
  <si>
    <t>135,29 €</t>
  </si>
  <si>
    <t>27.257,60 €</t>
  </si>
  <si>
    <t>01.06.2026.</t>
  </si>
  <si>
    <t>259,10 €</t>
  </si>
  <si>
    <t>134,02 €</t>
  </si>
  <si>
    <t>26.998,50 €</t>
  </si>
  <si>
    <t>01.07.2026.</t>
  </si>
  <si>
    <t>260,37 €</t>
  </si>
  <si>
    <t>132,75 €</t>
  </si>
  <si>
    <t>26.738,13 €</t>
  </si>
  <si>
    <t>01.08.2026.</t>
  </si>
  <si>
    <t>261,65 €</t>
  </si>
  <si>
    <t>131,47 €</t>
  </si>
  <si>
    <t>26.476,47 €</t>
  </si>
  <si>
    <t>01.09.2026.</t>
  </si>
  <si>
    <t>262,94 €</t>
  </si>
  <si>
    <t>130,18 €</t>
  </si>
  <si>
    <t>26.213,53 €</t>
  </si>
  <si>
    <t>01.10.2026.</t>
  </si>
  <si>
    <t>264,23 €</t>
  </si>
  <si>
    <t>128,89 €</t>
  </si>
  <si>
    <t>25.949,30 €</t>
  </si>
  <si>
    <t>01.11.2026.</t>
  </si>
  <si>
    <t>265,53 €</t>
  </si>
  <si>
    <t>127,59 €</t>
  </si>
  <si>
    <t>25.683,77 €</t>
  </si>
  <si>
    <t>01.12.2026.</t>
  </si>
  <si>
    <t>266,84 €</t>
  </si>
  <si>
    <t>126,28 €</t>
  </si>
  <si>
    <t>25.416,93 €</t>
  </si>
  <si>
    <t>01.01.2027.</t>
  </si>
  <si>
    <t>268,15 €</t>
  </si>
  <si>
    <t>124,97 €</t>
  </si>
  <si>
    <t>25.148,78 €</t>
  </si>
  <si>
    <t>01.02.2027.</t>
  </si>
  <si>
    <t>269,47 €</t>
  </si>
  <si>
    <t>123,65 €</t>
  </si>
  <si>
    <t>24.879,31 €</t>
  </si>
  <si>
    <t>01.03.2027.</t>
  </si>
  <si>
    <t>270,79 €</t>
  </si>
  <si>
    <t>122,33 €</t>
  </si>
  <si>
    <t>24.608,52 €</t>
  </si>
  <si>
    <t>01.04.2027.</t>
  </si>
  <si>
    <t>272,12 €</t>
  </si>
  <si>
    <t>121,00 €</t>
  </si>
  <si>
    <t>24.336,40 €</t>
  </si>
  <si>
    <t>01.05.2027.</t>
  </si>
  <si>
    <t>273,46 €</t>
  </si>
  <si>
    <t>119,66 €</t>
  </si>
  <si>
    <t>24.062,93 €</t>
  </si>
  <si>
    <t>01.06.2027.</t>
  </si>
  <si>
    <t>274,81 €</t>
  </si>
  <si>
    <t>118,31 €</t>
  </si>
  <si>
    <t>23.788,13 €</t>
  </si>
  <si>
    <t>01.07.2027.</t>
  </si>
  <si>
    <t>276,16 €</t>
  </si>
  <si>
    <t>116,96 €</t>
  </si>
  <si>
    <t>23.511,97 €</t>
  </si>
  <si>
    <t>01.08.2027.</t>
  </si>
  <si>
    <t>277,52 €</t>
  </si>
  <si>
    <t>115,60 €</t>
  </si>
  <si>
    <t>23.234,45 €</t>
  </si>
  <si>
    <t>01.09.2027.</t>
  </si>
  <si>
    <t>278,88 €</t>
  </si>
  <si>
    <t>114,24 €</t>
  </si>
  <si>
    <t>22.955,57 €</t>
  </si>
  <si>
    <t>01.10.2027.</t>
  </si>
  <si>
    <t>280,25 €</t>
  </si>
  <si>
    <t>112,87 €</t>
  </si>
  <si>
    <t>22.675,32 €</t>
  </si>
  <si>
    <t>01.11.2027.</t>
  </si>
  <si>
    <t>281,63 €</t>
  </si>
  <si>
    <t>111,49 €</t>
  </si>
  <si>
    <t>22.393,69 €</t>
  </si>
  <si>
    <t>01.12.2027.</t>
  </si>
  <si>
    <t>283,01 €</t>
  </si>
  <si>
    <t>110,11 €</t>
  </si>
  <si>
    <t>22.110,68 €</t>
  </si>
  <si>
    <t>01.01.2028.</t>
  </si>
  <si>
    <t>284,41 €</t>
  </si>
  <si>
    <t>108,71 €</t>
  </si>
  <si>
    <t>21.826,28 €</t>
  </si>
  <si>
    <t>01.02.2028.</t>
  </si>
  <si>
    <t>285,80 €</t>
  </si>
  <si>
    <t>107,32 €</t>
  </si>
  <si>
    <t>21.540,47 €</t>
  </si>
  <si>
    <t>01.03.2028.</t>
  </si>
  <si>
    <t>287,21 €</t>
  </si>
  <si>
    <t>105,91 €</t>
  </si>
  <si>
    <t>21.253,26 €</t>
  </si>
  <si>
    <t>01.04.2028.</t>
  </si>
  <si>
    <t>288,62 €</t>
  </si>
  <si>
    <t>104,50 €</t>
  </si>
  <si>
    <t>20.964,64 €</t>
  </si>
  <si>
    <t>01.05.2028.</t>
  </si>
  <si>
    <t>290,04 €</t>
  </si>
  <si>
    <t>103,08 €</t>
  </si>
  <si>
    <t>20.674,60 €</t>
  </si>
  <si>
    <t>01.06.2028.</t>
  </si>
  <si>
    <t>291,47 €</t>
  </si>
  <si>
    <t>101,65 €</t>
  </si>
  <si>
    <t>20.383,14 €</t>
  </si>
  <si>
    <t>01.07.2028.</t>
  </si>
  <si>
    <t>292,90 €</t>
  </si>
  <si>
    <t>100,22 €</t>
  </si>
  <si>
    <t>20.090,24 €</t>
  </si>
  <si>
    <t>01.08.2028.</t>
  </si>
  <si>
    <t>294,34 €</t>
  </si>
  <si>
    <t>98,78 €</t>
  </si>
  <si>
    <t>19.795,90 €</t>
  </si>
  <si>
    <t>01.09.2028.</t>
  </si>
  <si>
    <t>295,79 €</t>
  </si>
  <si>
    <t>97,33 €</t>
  </si>
  <si>
    <t>19.500,11 €</t>
  </si>
  <si>
    <t>01.10.2028.</t>
  </si>
  <si>
    <t>297,24 €</t>
  </si>
  <si>
    <t>95,88 €</t>
  </si>
  <si>
    <t>19.202,87 €</t>
  </si>
  <si>
    <t>01.11.2028.</t>
  </si>
  <si>
    <t>298,70 €</t>
  </si>
  <si>
    <t>94,42 €</t>
  </si>
  <si>
    <t>18.904,17 €</t>
  </si>
  <si>
    <t>01.12.2028.</t>
  </si>
  <si>
    <t>300,17 €</t>
  </si>
  <si>
    <t>92,95 €</t>
  </si>
  <si>
    <t>18.604,00 €</t>
  </si>
  <si>
    <t>01.01.2029.</t>
  </si>
  <si>
    <t>301,65 €</t>
  </si>
  <si>
    <t>91,47 €</t>
  </si>
  <si>
    <t>18.302,35 €</t>
  </si>
  <si>
    <t>01.02.2029.</t>
  </si>
  <si>
    <t>303,13 €</t>
  </si>
  <si>
    <t>89,99 €</t>
  </si>
  <si>
    <t>17.999,22 €</t>
  </si>
  <si>
    <t>01.03.2029.</t>
  </si>
  <si>
    <t>304,62 €</t>
  </si>
  <si>
    <t>88,50 €</t>
  </si>
  <si>
    <t>17.694,60 €</t>
  </si>
  <si>
    <t>01.04.2029.</t>
  </si>
  <si>
    <t>306,12 €</t>
  </si>
  <si>
    <t>87,00 €</t>
  </si>
  <si>
    <t>17.388,49 €</t>
  </si>
  <si>
    <t>01.05.2029.</t>
  </si>
  <si>
    <t>307,62 €</t>
  </si>
  <si>
    <t>85,50 €</t>
  </si>
  <si>
    <t>17.080,86 €</t>
  </si>
  <si>
    <t>01.06.2029.</t>
  </si>
  <si>
    <t>309,14 €</t>
  </si>
  <si>
    <t>83,98 €</t>
  </si>
  <si>
    <t>16.771,73 €</t>
  </si>
  <si>
    <t>01.07.2029.</t>
  </si>
  <si>
    <t>310,66 €</t>
  </si>
  <si>
    <t>82,46 €</t>
  </si>
  <si>
    <t>16.461,07 €</t>
  </si>
  <si>
    <t>01.08.2029.</t>
  </si>
  <si>
    <t>312,18 €</t>
  </si>
  <si>
    <t>80,94 €</t>
  </si>
  <si>
    <t>16.148,89 €</t>
  </si>
  <si>
    <t>01.09.2029.</t>
  </si>
  <si>
    <t>313,72 €</t>
  </si>
  <si>
    <t>79,40 €</t>
  </si>
  <si>
    <t>15.835,17 €</t>
  </si>
  <si>
    <t>01.10.2029.</t>
  </si>
  <si>
    <t>315,26 €</t>
  </si>
  <si>
    <t>77,86 €</t>
  </si>
  <si>
    <t>15.519,91 €</t>
  </si>
  <si>
    <t>01.11.2029.</t>
  </si>
  <si>
    <t>316,81 €</t>
  </si>
  <si>
    <t>76,31 €</t>
  </si>
  <si>
    <t>15.203,10 €</t>
  </si>
  <si>
    <t>01.12.2029.</t>
  </si>
  <si>
    <t>318,37 €</t>
  </si>
  <si>
    <t>74,75 €</t>
  </si>
  <si>
    <t>14.884,74 €</t>
  </si>
  <si>
    <t>01.01.2030.</t>
  </si>
  <si>
    <t>319,93 €</t>
  </si>
  <si>
    <t>73,19 €</t>
  </si>
  <si>
    <t>14.564,80 €</t>
  </si>
  <si>
    <t>01.02.2030.</t>
  </si>
  <si>
    <t>321,51 €</t>
  </si>
  <si>
    <t>71,61 €</t>
  </si>
  <si>
    <t>14.243,30 €</t>
  </si>
  <si>
    <t>01.03.2030.</t>
  </si>
  <si>
    <t>323,09 €</t>
  </si>
  <si>
    <t>70,03 €</t>
  </si>
  <si>
    <t>13.920,21 €</t>
  </si>
  <si>
    <t>01.04.2030.</t>
  </si>
  <si>
    <t>324,68 €</t>
  </si>
  <si>
    <t>68,44 €</t>
  </si>
  <si>
    <t>13.595,54 €</t>
  </si>
  <si>
    <t>01.05.2030.</t>
  </si>
  <si>
    <t>326,27 €</t>
  </si>
  <si>
    <t>66,85 €</t>
  </si>
  <si>
    <t>13.269,27 €</t>
  </si>
  <si>
    <t>01.06.2030.</t>
  </si>
  <si>
    <t>327,88 €</t>
  </si>
  <si>
    <t>65,24 €</t>
  </si>
  <si>
    <t>12.941,39 €</t>
  </si>
  <si>
    <t>01.07.2030.</t>
  </si>
  <si>
    <t>329,49 €</t>
  </si>
  <si>
    <t>63,63 €</t>
  </si>
  <si>
    <t>12.611,90 €</t>
  </si>
  <si>
    <t>01.08.2030.</t>
  </si>
  <si>
    <t>331,11 €</t>
  </si>
  <si>
    <t>62,01 €</t>
  </si>
  <si>
    <t>12.280,79 €</t>
  </si>
  <si>
    <t>01.09.2030.</t>
  </si>
  <si>
    <t>332,74 €</t>
  </si>
  <si>
    <t>60,38 €</t>
  </si>
  <si>
    <t>11.948,06 €</t>
  </si>
  <si>
    <t>01.10.2030.</t>
  </si>
  <si>
    <t>334,37 €</t>
  </si>
  <si>
    <t>58,75 €</t>
  </si>
  <si>
    <t>11.613,69 €</t>
  </si>
  <si>
    <t>01.11.2030.</t>
  </si>
  <si>
    <t>336,02 €</t>
  </si>
  <si>
    <t>57,10 €</t>
  </si>
  <si>
    <t>11.277,67 €</t>
  </si>
  <si>
    <t>01.12.2030.</t>
  </si>
  <si>
    <t>337,67 €</t>
  </si>
  <si>
    <t>55,45 €</t>
  </si>
  <si>
    <t>10.940,01 €</t>
  </si>
  <si>
    <t>01.01.2031.</t>
  </si>
  <si>
    <t>339,33 €</t>
  </si>
  <si>
    <t>53,79 €</t>
  </si>
  <si>
    <t>10.600,68 €</t>
  </si>
  <si>
    <t>01.02.2031.</t>
  </si>
  <si>
    <t>341,00 €</t>
  </si>
  <si>
    <t>52,12 €</t>
  </si>
  <si>
    <t>10.259,68 €</t>
  </si>
  <si>
    <t>01.03.2031.</t>
  </si>
  <si>
    <t>342,67 €</t>
  </si>
  <si>
    <t>50,45 €</t>
  </si>
  <si>
    <t>9.917,01 €</t>
  </si>
  <si>
    <t>01.04.2031.</t>
  </si>
  <si>
    <t>344,36 €</t>
  </si>
  <si>
    <t>48,76 €</t>
  </si>
  <si>
    <t>9.572,65 €</t>
  </si>
  <si>
    <t>01.05.2031.</t>
  </si>
  <si>
    <t>346,05 €</t>
  </si>
  <si>
    <t>47,07 €</t>
  </si>
  <si>
    <t>9.226,60 €</t>
  </si>
  <si>
    <t>01.06.2031.</t>
  </si>
  <si>
    <t>347,75 €</t>
  </si>
  <si>
    <t>45,37 €</t>
  </si>
  <si>
    <t>8.878,85 €</t>
  </si>
  <si>
    <t>01.07.2031.</t>
  </si>
  <si>
    <t>349,46 €</t>
  </si>
  <si>
    <t>43,66 €</t>
  </si>
  <si>
    <t>8.529,39 €</t>
  </si>
  <si>
    <t>01.08.2031.</t>
  </si>
  <si>
    <t>351,18 €</t>
  </si>
  <si>
    <t>41,94 €</t>
  </si>
  <si>
    <t>8.178,21 €</t>
  </si>
  <si>
    <t>01.09.2031.</t>
  </si>
  <si>
    <t>352,91 €</t>
  </si>
  <si>
    <t>40,21 €</t>
  </si>
  <si>
    <t>7.825,30 €</t>
  </si>
  <si>
    <t>01.10.2031.</t>
  </si>
  <si>
    <t>354,64 €</t>
  </si>
  <si>
    <t>38,48 €</t>
  </si>
  <si>
    <t>7.470,66 €</t>
  </si>
  <si>
    <t>01.11.2031.</t>
  </si>
  <si>
    <t>356,39 €</t>
  </si>
  <si>
    <t>36,73 €</t>
  </si>
  <si>
    <t>7.114,27 €</t>
  </si>
  <si>
    <t>01.12.2031.</t>
  </si>
  <si>
    <t>358,14 €</t>
  </si>
  <si>
    <t>34,98 €</t>
  </si>
  <si>
    <t>6.756,14 €</t>
  </si>
  <si>
    <t>01.01.2032.</t>
  </si>
  <si>
    <t>359,90 €</t>
  </si>
  <si>
    <t>33,22 €</t>
  </si>
  <si>
    <t>6.396,24 €</t>
  </si>
  <si>
    <t>01.02.2032.</t>
  </si>
  <si>
    <t>361,67 €</t>
  </si>
  <si>
    <t>31,45 €</t>
  </si>
  <si>
    <t>6.034,57 €</t>
  </si>
  <si>
    <t>01.03.2032.</t>
  </si>
  <si>
    <t>363,45 €</t>
  </si>
  <si>
    <t>29,67 €</t>
  </si>
  <si>
    <t>5.671,12 €</t>
  </si>
  <si>
    <t>01.04.2032.</t>
  </si>
  <si>
    <t>365,23 €</t>
  </si>
  <si>
    <t>27,89 €</t>
  </si>
  <si>
    <t>5.305,89 €</t>
  </si>
  <si>
    <t>01.05.2032.</t>
  </si>
  <si>
    <t>367,03 €</t>
  </si>
  <si>
    <t>26,09 €</t>
  </si>
  <si>
    <t>4.938,86 €</t>
  </si>
  <si>
    <t>01.06.2032.</t>
  </si>
  <si>
    <t>368,83 €</t>
  </si>
  <si>
    <t>24,29 €</t>
  </si>
  <si>
    <t>4.570,03 €</t>
  </si>
  <si>
    <t>01.07.2032.</t>
  </si>
  <si>
    <t>370,65 €</t>
  </si>
  <si>
    <t>22,47 €</t>
  </si>
  <si>
    <t>4.199,38 €</t>
  </si>
  <si>
    <t>01.08.2032.</t>
  </si>
  <si>
    <t>372,47 €</t>
  </si>
  <si>
    <t>20,65 €</t>
  </si>
  <si>
    <t>3.826,91 €</t>
  </si>
  <si>
    <t>01.09.2032.</t>
  </si>
  <si>
    <t>374,30 €</t>
  </si>
  <si>
    <t>18,82 €</t>
  </si>
  <si>
    <t>3.452,61 €</t>
  </si>
  <si>
    <t>01.10.2032.</t>
  </si>
  <si>
    <t>376,14 €</t>
  </si>
  <si>
    <t>16,98 €</t>
  </si>
  <si>
    <t>3.076,47 €</t>
  </si>
  <si>
    <t>01.11.2032.</t>
  </si>
  <si>
    <t>377,99 €</t>
  </si>
  <si>
    <t>15,13 €</t>
  </si>
  <si>
    <t>2.698,48 €</t>
  </si>
  <si>
    <t>01.12.2032.</t>
  </si>
  <si>
    <t>379,85 €</t>
  </si>
  <si>
    <t>13,27 €</t>
  </si>
  <si>
    <t>2.318,63 €</t>
  </si>
  <si>
    <t>01.01.2033.</t>
  </si>
  <si>
    <t>381,72 €</t>
  </si>
  <si>
    <t>11,40 €</t>
  </si>
  <si>
    <t>1.936,92 €</t>
  </si>
  <si>
    <t>01.02.2033.</t>
  </si>
  <si>
    <t>383,59 €</t>
  </si>
  <si>
    <t>9,53 €</t>
  </si>
  <si>
    <t>1.553,32 €</t>
  </si>
  <si>
    <t>01.03.2033.</t>
  </si>
  <si>
    <t>385,48 €</t>
  </si>
  <si>
    <t>7,64 €</t>
  </si>
  <si>
    <t>1.167,85 €</t>
  </si>
  <si>
    <t>01.04.2033.</t>
  </si>
  <si>
    <t>387,37 €</t>
  </si>
  <si>
    <t>5,75 €</t>
  </si>
  <si>
    <t>780,47 €</t>
  </si>
  <si>
    <t>01.05.2033.</t>
  </si>
  <si>
    <t>389,28 €</t>
  </si>
  <si>
    <t>3,84 €</t>
  </si>
  <si>
    <t>391,19 €</t>
  </si>
  <si>
    <t>01.06.2033.</t>
  </si>
  <si>
    <t>1,93 €</t>
  </si>
  <si>
    <t>Otplatna tablica kredita</t>
  </si>
  <si>
    <t>Anuitet (a)</t>
  </si>
  <si>
    <t xml:space="preserve"> Kamate (Ik)</t>
  </si>
  <si>
    <t>Otplatna kvota (Rk)</t>
  </si>
  <si>
    <t>Ostatak duga (Ck)</t>
  </si>
  <si>
    <t>Otplatna tablica Erste Banke</t>
  </si>
  <si>
    <t>3. Angažirana OS</t>
  </si>
  <si>
    <t>4. Angažirana TOBS</t>
  </si>
  <si>
    <t>6. Izdaci za osoblje</t>
  </si>
  <si>
    <t>5. Troškovi namirnica i usluga</t>
  </si>
  <si>
    <t>diskontna stopa</t>
  </si>
  <si>
    <t>provjera</t>
  </si>
  <si>
    <t>diskontna stopa
stopa</t>
  </si>
  <si>
    <t>3.1. Osnovnih sredstava</t>
  </si>
  <si>
    <t>3.2. Obrtnih sredstava</t>
  </si>
  <si>
    <t>4. Investicije u OS</t>
  </si>
  <si>
    <t>5. Investicije u TOBS</t>
  </si>
  <si>
    <t>7. Izdaci za osoblje</t>
  </si>
  <si>
    <t>8. Porezi</t>
  </si>
  <si>
    <t>9. Otplata (Glavnica + Kamate)</t>
  </si>
  <si>
    <t>6. Troškovi namirnica i usluga</t>
  </si>
  <si>
    <t>Početak</t>
  </si>
  <si>
    <t>Renovacija građevinskog objekta</t>
  </si>
  <si>
    <t>bijela s bademima</t>
  </si>
  <si>
    <t>ChocoOrange</t>
  </si>
  <si>
    <t>KM-ovi - cijena po kg//l/kom</t>
  </si>
  <si>
    <t>Euro</t>
  </si>
  <si>
    <t>Puding</t>
  </si>
  <si>
    <t>puding</t>
  </si>
  <si>
    <t>Erste Banka - Gotovinske kredit</t>
  </si>
  <si>
    <t>Pomoćna slastičarka</t>
  </si>
  <si>
    <t>Namirnice</t>
  </si>
  <si>
    <t>Registracija</t>
  </si>
  <si>
    <t>Kupovina automobila (Peugeot 206)</t>
  </si>
  <si>
    <t>Troškovi kupovine automobila</t>
  </si>
  <si>
    <t>Automobil</t>
  </si>
  <si>
    <t>Građevinski objekt</t>
  </si>
  <si>
    <t>Dostava</t>
  </si>
  <si>
    <t>kilometar</t>
  </si>
  <si>
    <t>Troškovi održavanja automobila</t>
  </si>
  <si>
    <t>Tehnički pregled</t>
  </si>
  <si>
    <t>Pranje i usisavanje</t>
  </si>
  <si>
    <t>tjedan</t>
  </si>
  <si>
    <t>Sredstva za čišćenje</t>
  </si>
  <si>
    <t>Zalihe namirnica</t>
  </si>
  <si>
    <t>Dostavljač/Pomoćna slastičarka</t>
  </si>
  <si>
    <t>Postotak</t>
  </si>
  <si>
    <t>Pristojba  Državnog zavoda za statistiku</t>
  </si>
  <si>
    <t>Cheese Cake (s jagodama) - 24 cm</t>
  </si>
  <si>
    <t>Cheese Cake (s jagodama) - 26 cm</t>
  </si>
  <si>
    <t>Cheese Cake (s jagodama) - 28 cm</t>
  </si>
  <si>
    <t>Džem</t>
  </si>
  <si>
    <t>Ukupni godišnji trošak s namirnicama</t>
  </si>
  <si>
    <t>Ukupni godišnji trošak bez namirnica</t>
  </si>
  <si>
    <t>Ocjena osjetljivosti projekta (2033)</t>
  </si>
  <si>
    <t>7. Troškovi održavanja automobila</t>
  </si>
  <si>
    <t>Zalihe gotovih proizvoda</t>
  </si>
  <si>
    <t>Vanilin šećer</t>
  </si>
  <si>
    <t>Nutella</t>
  </si>
  <si>
    <t>vanilin šećer</t>
  </si>
  <si>
    <t>nutella</t>
  </si>
  <si>
    <t>Milka čokolada mliječna/noisette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</si>
</sst>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* #,##0.00\ &quot;kn&quot;_-;\-* #,##0.00\ &quot;kn&quot;_-;_-* &quot;-&quot;??\ &quot;kn&quot;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[$€-1];[Red]\-#,##0.00\ [$€-1]"/>
    <numFmt numFmtId="167" formatCode="#,##0\ [$€-1];[Red]\-#,##0\ [$€-1]"/>
    <numFmt numFmtId="168" formatCode="_-* #,##0\ [$€-1]_-;\-* #,##0\ [$€-1]_-;_-* &quot;-&quot;\ [$€-1]_-;_-@_-"/>
    <numFmt numFmtId="169" formatCode="#,##0.00\ [$€-1]"/>
    <numFmt numFmtId="170" formatCode="#,##0.0\ [$€-1];[Red]\-#,##0.0\ [$€-1]"/>
    <numFmt numFmtId="171" formatCode="_-* #,##0.00\ [$€-1]_-;\-* #,##0.00\ [$€-1]_-;_-* &quot;-&quot;??\ [$€-1]_-;_-@_-"/>
    <numFmt numFmtId="172" formatCode="#,##0\ [$€-1]"/>
    <numFmt numFmtId="173" formatCode="0."/>
    <numFmt numFmtId="174" formatCode="#,##0.00\ [$€-1]_);[Red]\(#,##0.00\ [$€-1]\)"/>
    <numFmt numFmtId="175" formatCode="_-* #,##0\ [$€-1]_-;\-* #,##0\ [$€-1]_-;_-* &quot;-&quot;??\ [$€-1]_-;_-@_-"/>
    <numFmt numFmtId="176" formatCode="0.0%"/>
    <numFmt numFmtId="177" formatCode="0.0000%"/>
    <numFmt numFmtId="178" formatCode="_-* #,##0.00\ _k_n_-;\-* #,##0.00\ _k_n_-;_-* &quot;-&quot;??\ _k_n_-;_-@_-"/>
    <numFmt numFmtId="179" formatCode="0.000"/>
    <numFmt numFmtId="180" formatCode="#,##0.0000"/>
    <numFmt numFmtId="181" formatCode="_ * #,##0.00_)\ [$€-1]_ ;_ * \(#,##0.00\)\ [$€-1]_ ;_ * &quot;-&quot;??_)\ [$€-1]_ ;_ @_ "/>
    <numFmt numFmtId="182" formatCode="#,##0.00\ [$€-1]_);\(#,##0.00\ [$€-1]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i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theme="1"/>
      <name val="Calibri"/>
      <family val="2"/>
      <charset val="238"/>
    </font>
    <font>
      <sz val="2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6"/>
      <color rgb="FF0069A7"/>
      <name val="Open Sans"/>
      <family val="2"/>
    </font>
    <font>
      <sz val="6"/>
      <color rgb="FF8995A3"/>
      <name val="Open Sans"/>
      <family val="2"/>
    </font>
    <font>
      <sz val="6"/>
      <color rgb="FF313A45"/>
      <name val="Open Sans"/>
      <family val="2"/>
    </font>
    <font>
      <sz val="6"/>
      <color rgb="FF0069A7"/>
      <name val="Open Sans"/>
      <family val="2"/>
    </font>
    <font>
      <b/>
      <sz val="10"/>
      <name val="Arial"/>
      <family val="2"/>
    </font>
    <font>
      <sz val="11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69A7"/>
      </bottom>
      <diagonal/>
    </border>
    <border>
      <left/>
      <right/>
      <top style="thin">
        <color indexed="64"/>
      </top>
      <bottom style="medium">
        <color rgb="FF0069A7"/>
      </bottom>
      <diagonal/>
    </border>
    <border>
      <left/>
      <right style="thin">
        <color indexed="64"/>
      </right>
      <top style="thin">
        <color indexed="64"/>
      </top>
      <bottom style="medium">
        <color rgb="FF0069A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0" borderId="0"/>
    <xf numFmtId="0" fontId="9" fillId="13" borderId="0" applyNumberFormat="0" applyBorder="0" applyAlignment="0" applyProtection="0"/>
    <xf numFmtId="0" fontId="12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78" fontId="2" fillId="0" borderId="0" applyFont="0" applyFill="0" applyBorder="0" applyAlignment="0" applyProtection="0"/>
    <xf numFmtId="0" fontId="19" fillId="0" borderId="0"/>
    <xf numFmtId="165" fontId="2" fillId="0" borderId="0" applyFont="0" applyFill="0" applyBorder="0" applyAlignment="0" applyProtection="0"/>
  </cellStyleXfs>
  <cellXfs count="357">
    <xf numFmtId="0" fontId="0" fillId="0" borderId="0" xfId="0"/>
    <xf numFmtId="0" fontId="3" fillId="7" borderId="1" xfId="4" applyFont="1" applyFill="1" applyBorder="1"/>
    <xf numFmtId="0" fontId="3" fillId="7" borderId="1" xfId="4" applyFont="1" applyFill="1" applyBorder="1" applyAlignment="1">
      <alignment horizontal="center"/>
    </xf>
    <xf numFmtId="0" fontId="2" fillId="8" borderId="1" xfId="3" applyFill="1" applyBorder="1"/>
    <xf numFmtId="166" fontId="2" fillId="8" borderId="1" xfId="3" applyNumberFormat="1" applyFill="1" applyBorder="1"/>
    <xf numFmtId="167" fontId="2" fillId="8" borderId="1" xfId="3" applyNumberFormat="1" applyFill="1" applyBorder="1"/>
    <xf numFmtId="167" fontId="3" fillId="7" borderId="1" xfId="4" applyNumberFormat="1" applyFont="1" applyFill="1" applyBorder="1"/>
    <xf numFmtId="0" fontId="6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right" vertical="center"/>
    </xf>
    <xf numFmtId="168" fontId="3" fillId="7" borderId="1" xfId="4" applyNumberFormat="1" applyFont="1" applyFill="1" applyBorder="1"/>
    <xf numFmtId="167" fontId="0" fillId="0" borderId="0" xfId="0" applyNumberFormat="1"/>
    <xf numFmtId="0" fontId="3" fillId="7" borderId="1" xfId="7" applyFont="1" applyFill="1" applyBorder="1" applyAlignment="1">
      <alignment horizontal="center"/>
    </xf>
    <xf numFmtId="167" fontId="3" fillId="7" borderId="1" xfId="7" applyNumberFormat="1" applyFont="1" applyFill="1" applyBorder="1"/>
    <xf numFmtId="168" fontId="3" fillId="7" borderId="1" xfId="7" applyNumberFormat="1" applyFont="1" applyFill="1" applyBorder="1" applyAlignment="1">
      <alignment horizontal="right"/>
    </xf>
    <xf numFmtId="0" fontId="4" fillId="8" borderId="1" xfId="8" applyFill="1" applyBorder="1"/>
    <xf numFmtId="0" fontId="4" fillId="8" borderId="1" xfId="8" applyFill="1" applyBorder="1" applyAlignment="1">
      <alignment horizontal="center"/>
    </xf>
    <xf numFmtId="167" fontId="4" fillId="8" borderId="1" xfId="8" applyNumberFormat="1" applyFill="1" applyBorder="1"/>
    <xf numFmtId="0" fontId="0" fillId="7" borderId="1" xfId="0" applyFill="1" applyBorder="1"/>
    <xf numFmtId="0" fontId="0" fillId="8" borderId="1" xfId="0" applyFill="1" applyBorder="1"/>
    <xf numFmtId="0" fontId="6" fillId="7" borderId="1" xfId="3" applyFont="1" applyFill="1" applyBorder="1"/>
    <xf numFmtId="0" fontId="6" fillId="7" borderId="1" xfId="0" applyFont="1" applyFill="1" applyBorder="1"/>
    <xf numFmtId="0" fontId="6" fillId="7" borderId="1" xfId="3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72" fontId="5" fillId="8" borderId="1" xfId="1" applyNumberFormat="1" applyFont="1" applyFill="1" applyBorder="1" applyAlignment="1">
      <alignment horizontal="right" vertical="center"/>
    </xf>
    <xf numFmtId="172" fontId="0" fillId="8" borderId="1" xfId="0" applyNumberFormat="1" applyFill="1" applyBorder="1"/>
    <xf numFmtId="167" fontId="4" fillId="8" borderId="1" xfId="8" applyNumberFormat="1" applyFill="1" applyBorder="1" applyAlignment="1">
      <alignment horizontal="right"/>
    </xf>
    <xf numFmtId="0" fontId="4" fillId="8" borderId="1" xfId="8" applyFill="1" applyBorder="1" applyAlignment="1">
      <alignment horizontal="right"/>
    </xf>
    <xf numFmtId="167" fontId="3" fillId="7" borderId="1" xfId="7" applyNumberFormat="1" applyFont="1" applyFill="1" applyBorder="1" applyAlignment="1"/>
    <xf numFmtId="0" fontId="3" fillId="7" borderId="1" xfId="7" applyFont="1" applyFill="1" applyBorder="1" applyAlignment="1"/>
    <xf numFmtId="167" fontId="4" fillId="8" borderId="4" xfId="8" applyNumberFormat="1" applyFill="1" applyBorder="1" applyAlignment="1"/>
    <xf numFmtId="167" fontId="4" fillId="8" borderId="1" xfId="8" applyNumberFormat="1" applyFill="1" applyBorder="1" applyAlignment="1"/>
    <xf numFmtId="0" fontId="4" fillId="8" borderId="1" xfId="8" applyFill="1" applyBorder="1" applyAlignment="1"/>
    <xf numFmtId="0" fontId="4" fillId="8" borderId="1" xfId="8" applyFill="1" applyBorder="1" applyAlignment="1">
      <alignment horizontal="left"/>
    </xf>
    <xf numFmtId="0" fontId="4" fillId="8" borderId="6" xfId="8" applyFill="1" applyBorder="1"/>
    <xf numFmtId="167" fontId="4" fillId="8" borderId="6" xfId="8" applyNumberFormat="1" applyFill="1" applyBorder="1"/>
    <xf numFmtId="172" fontId="6" fillId="7" borderId="1" xfId="0" applyNumberFormat="1" applyFont="1" applyFill="1" applyBorder="1"/>
    <xf numFmtId="173" fontId="4" fillId="8" borderId="1" xfId="8" applyNumberFormat="1" applyFill="1" applyBorder="1" applyAlignment="1">
      <alignment horizontal="left"/>
    </xf>
    <xf numFmtId="0" fontId="3" fillId="9" borderId="1" xfId="6" applyFont="1" applyFill="1" applyBorder="1"/>
    <xf numFmtId="167" fontId="3" fillId="10" borderId="1" xfId="5" applyNumberFormat="1" applyFont="1" applyFill="1" applyBorder="1"/>
    <xf numFmtId="0" fontId="3" fillId="7" borderId="1" xfId="7" applyFont="1" applyFill="1" applyBorder="1"/>
    <xf numFmtId="171" fontId="3" fillId="7" borderId="1" xfId="7" applyNumberFormat="1" applyFont="1" applyFill="1" applyBorder="1"/>
    <xf numFmtId="9" fontId="4" fillId="8" borderId="1" xfId="8" applyNumberFormat="1" applyFill="1" applyBorder="1" applyAlignment="1"/>
    <xf numFmtId="171" fontId="4" fillId="8" borderId="1" xfId="8" applyNumberFormat="1" applyFill="1" applyBorder="1"/>
    <xf numFmtId="0" fontId="4" fillId="8" borderId="6" xfId="8" applyFill="1" applyBorder="1" applyAlignment="1"/>
    <xf numFmtId="0" fontId="3" fillId="7" borderId="1" xfId="7" applyFont="1" applyFill="1" applyBorder="1" applyAlignment="1">
      <alignment horizontal="center" vertical="center"/>
    </xf>
    <xf numFmtId="0" fontId="4" fillId="7" borderId="1" xfId="7" applyFill="1" applyBorder="1" applyAlignment="1">
      <alignment horizontal="left"/>
    </xf>
    <xf numFmtId="0" fontId="4" fillId="7" borderId="1" xfId="7" applyFill="1" applyBorder="1"/>
    <xf numFmtId="0" fontId="4" fillId="8" borderId="1" xfId="9" applyFill="1" applyBorder="1" applyAlignment="1"/>
    <xf numFmtId="0" fontId="4" fillId="8" borderId="1" xfId="9" applyFill="1" applyBorder="1"/>
    <xf numFmtId="0" fontId="4" fillId="11" borderId="1" xfId="8" applyFill="1" applyBorder="1" applyAlignment="1">
      <alignment horizontal="center" vertical="center"/>
    </xf>
    <xf numFmtId="0" fontId="3" fillId="11" borderId="1" xfId="8" applyFont="1" applyFill="1" applyBorder="1" applyAlignment="1">
      <alignment horizontal="left"/>
    </xf>
    <xf numFmtId="0" fontId="3" fillId="11" borderId="1" xfId="8" applyFont="1" applyFill="1" applyBorder="1"/>
    <xf numFmtId="0" fontId="4" fillId="11" borderId="1" xfId="8" applyFill="1" applyBorder="1" applyAlignment="1">
      <alignment horizontal="left"/>
    </xf>
    <xf numFmtId="0" fontId="4" fillId="11" borderId="1" xfId="8" applyFill="1" applyBorder="1"/>
    <xf numFmtId="173" fontId="4" fillId="11" borderId="1" xfId="8" applyNumberFormat="1" applyFill="1" applyBorder="1" applyAlignment="1">
      <alignment horizontal="left"/>
    </xf>
    <xf numFmtId="10" fontId="0" fillId="8" borderId="1" xfId="2" applyNumberFormat="1" applyFont="1" applyFill="1" applyBorder="1"/>
    <xf numFmtId="173" fontId="4" fillId="7" borderId="1" xfId="7" applyNumberFormat="1" applyFill="1" applyBorder="1" applyAlignment="1">
      <alignment horizontal="left"/>
    </xf>
    <xf numFmtId="0" fontId="3" fillId="7" borderId="1" xfId="7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167" fontId="3" fillId="7" borderId="1" xfId="7" applyNumberFormat="1" applyFont="1" applyFill="1" applyBorder="1" applyAlignment="1">
      <alignment horizontal="right" vertical="center"/>
    </xf>
    <xf numFmtId="0" fontId="4" fillId="8" borderId="1" xfId="8" applyFill="1" applyBorder="1" applyAlignment="1">
      <alignment horizontal="left" vertical="center"/>
    </xf>
    <xf numFmtId="0" fontId="4" fillId="8" borderId="1" xfId="8" applyFill="1" applyBorder="1" applyAlignment="1">
      <alignment vertical="center"/>
    </xf>
    <xf numFmtId="167" fontId="4" fillId="8" borderId="1" xfId="8" applyNumberFormat="1" applyFill="1" applyBorder="1" applyAlignment="1">
      <alignment vertical="center"/>
    </xf>
    <xf numFmtId="167" fontId="4" fillId="8" borderId="1" xfId="8" applyNumberFormat="1" applyFill="1" applyBorder="1" applyAlignment="1">
      <alignment horizontal="right" vertical="center"/>
    </xf>
    <xf numFmtId="166" fontId="4" fillId="8" borderId="1" xfId="8" applyNumberFormat="1" applyFill="1" applyBorder="1" applyAlignment="1">
      <alignment vertical="center"/>
    </xf>
    <xf numFmtId="0" fontId="4" fillId="7" borderId="1" xfId="7" applyFill="1" applyBorder="1" applyAlignment="1"/>
    <xf numFmtId="0" fontId="3" fillId="7" borderId="1" xfId="7" applyFont="1" applyFill="1" applyBorder="1" applyAlignment="1">
      <alignment horizontal="left"/>
    </xf>
    <xf numFmtId="166" fontId="4" fillId="8" borderId="1" xfId="8" applyNumberFormat="1" applyFill="1" applyBorder="1"/>
    <xf numFmtId="9" fontId="4" fillId="8" borderId="1" xfId="8" applyNumberFormat="1" applyFill="1" applyBorder="1"/>
    <xf numFmtId="10" fontId="4" fillId="8" borderId="1" xfId="8" applyNumberFormat="1" applyFill="1" applyBorder="1"/>
    <xf numFmtId="166" fontId="3" fillId="8" borderId="1" xfId="8" applyNumberFormat="1" applyFont="1" applyFill="1" applyBorder="1"/>
    <xf numFmtId="0" fontId="4" fillId="7" borderId="1" xfId="8" applyFill="1" applyBorder="1"/>
    <xf numFmtId="166" fontId="3" fillId="7" borderId="1" xfId="8" applyNumberFormat="1" applyFont="1" applyFill="1" applyBorder="1"/>
    <xf numFmtId="174" fontId="0" fillId="8" borderId="1" xfId="0" applyNumberFormat="1" applyFill="1" applyBorder="1"/>
    <xf numFmtId="174" fontId="3" fillId="8" borderId="1" xfId="0" applyNumberFormat="1" applyFont="1" applyFill="1" applyBorder="1"/>
    <xf numFmtId="0" fontId="3" fillId="7" borderId="1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3" fillId="7" borderId="8" xfId="7" applyFont="1" applyFill="1" applyBorder="1" applyAlignment="1">
      <alignment horizontal="center"/>
    </xf>
    <xf numFmtId="166" fontId="3" fillId="7" borderId="8" xfId="7" applyNumberFormat="1" applyFont="1" applyFill="1" applyBorder="1" applyAlignment="1">
      <alignment horizontal="right" indent="1"/>
    </xf>
    <xf numFmtId="166" fontId="4" fillId="8" borderId="1" xfId="8" applyNumberFormat="1" applyFill="1" applyBorder="1" applyAlignment="1">
      <alignment horizontal="right"/>
    </xf>
    <xf numFmtId="166" fontId="3" fillId="7" borderId="1" xfId="7" applyNumberFormat="1" applyFont="1" applyFill="1" applyBorder="1" applyAlignment="1">
      <alignment horizontal="right"/>
    </xf>
    <xf numFmtId="170" fontId="4" fillId="8" borderId="1" xfId="8" applyNumberFormat="1" applyFill="1" applyBorder="1" applyAlignment="1">
      <alignment horizontal="right"/>
    </xf>
    <xf numFmtId="0" fontId="2" fillId="8" borderId="1" xfId="7" applyFont="1" applyFill="1" applyBorder="1" applyAlignment="1"/>
    <xf numFmtId="0" fontId="2" fillId="8" borderId="1" xfId="7" applyFont="1" applyFill="1" applyBorder="1" applyAlignment="1">
      <alignment horizontal="left"/>
    </xf>
    <xf numFmtId="0" fontId="4" fillId="0" borderId="0" xfId="10"/>
    <xf numFmtId="44" fontId="4" fillId="0" borderId="0" xfId="10" applyNumberFormat="1"/>
    <xf numFmtId="0" fontId="4" fillId="7" borderId="4" xfId="8" applyFill="1" applyBorder="1" applyAlignment="1">
      <alignment horizontal="center"/>
    </xf>
    <xf numFmtId="0" fontId="4" fillId="7" borderId="1" xfId="8" applyFill="1" applyBorder="1" applyAlignment="1">
      <alignment horizontal="left"/>
    </xf>
    <xf numFmtId="0" fontId="4" fillId="7" borderId="4" xfId="8" applyFill="1" applyBorder="1" applyAlignment="1">
      <alignment horizontal="left"/>
    </xf>
    <xf numFmtId="169" fontId="4" fillId="7" borderId="1" xfId="8" applyNumberFormat="1" applyFill="1" applyBorder="1"/>
    <xf numFmtId="0" fontId="4" fillId="7" borderId="1" xfId="7" applyFill="1" applyBorder="1" applyAlignment="1">
      <alignment vertical="center"/>
    </xf>
    <xf numFmtId="0" fontId="3" fillId="7" borderId="9" xfId="7" applyFont="1" applyFill="1" applyBorder="1" applyAlignment="1">
      <alignment horizontal="center" vertical="center"/>
    </xf>
    <xf numFmtId="171" fontId="4" fillId="8" borderId="1" xfId="8" applyNumberFormat="1" applyFill="1" applyBorder="1" applyAlignment="1">
      <alignment vertical="center"/>
    </xf>
    <xf numFmtId="176" fontId="4" fillId="8" borderId="1" xfId="8" applyNumberFormat="1" applyFill="1" applyBorder="1" applyAlignment="1">
      <alignment vertical="center"/>
    </xf>
    <xf numFmtId="4" fontId="4" fillId="8" borderId="1" xfId="8" applyNumberFormat="1" applyFill="1" applyBorder="1" applyAlignment="1">
      <alignment vertical="center"/>
    </xf>
    <xf numFmtId="3" fontId="4" fillId="8" borderId="1" xfId="8" applyNumberFormat="1" applyFill="1" applyBorder="1" applyAlignment="1">
      <alignment vertical="center"/>
    </xf>
    <xf numFmtId="1" fontId="4" fillId="8" borderId="1" xfId="8" applyNumberFormat="1" applyFill="1" applyBorder="1" applyAlignment="1">
      <alignment vertical="center"/>
    </xf>
    <xf numFmtId="177" fontId="4" fillId="8" borderId="1" xfId="8" applyNumberFormat="1" applyFill="1" applyBorder="1" applyAlignment="1">
      <alignment vertical="center"/>
    </xf>
    <xf numFmtId="171" fontId="0" fillId="7" borderId="1" xfId="0" applyNumberFormat="1" applyFill="1" applyBorder="1"/>
    <xf numFmtId="0" fontId="5" fillId="8" borderId="10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horizontal="right" vertical="center"/>
    </xf>
    <xf numFmtId="167" fontId="2" fillId="8" borderId="10" xfId="3" applyNumberFormat="1" applyFill="1" applyBorder="1"/>
    <xf numFmtId="172" fontId="5" fillId="8" borderId="10" xfId="1" applyNumberFormat="1" applyFont="1" applyFill="1" applyBorder="1" applyAlignment="1">
      <alignment horizontal="right" vertical="center"/>
    </xf>
    <xf numFmtId="0" fontId="4" fillId="8" borderId="1" xfId="7" applyFill="1" applyBorder="1" applyAlignment="1">
      <alignment horizontal="left"/>
    </xf>
    <xf numFmtId="0" fontId="1" fillId="8" borderId="1" xfId="8" applyFont="1" applyFill="1" applyBorder="1"/>
    <xf numFmtId="0" fontId="8" fillId="0" borderId="0" xfId="0" applyFont="1"/>
    <xf numFmtId="4" fontId="8" fillId="0" borderId="0" xfId="0" applyNumberFormat="1" applyFont="1"/>
    <xf numFmtId="4" fontId="0" fillId="0" borderId="0" xfId="0" applyNumberFormat="1"/>
    <xf numFmtId="4" fontId="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8" borderId="1" xfId="8" applyFont="1" applyFill="1" applyBorder="1" applyAlignment="1">
      <alignment horizontal="left"/>
    </xf>
    <xf numFmtId="0" fontId="1" fillId="8" borderId="1" xfId="8" applyFont="1" applyFill="1" applyBorder="1" applyAlignment="1">
      <alignment horizontal="center"/>
    </xf>
    <xf numFmtId="2" fontId="0" fillId="0" borderId="0" xfId="0" applyNumberFormat="1"/>
    <xf numFmtId="4" fontId="3" fillId="7" borderId="1" xfId="7" applyNumberFormat="1" applyFont="1" applyFill="1" applyBorder="1" applyAlignment="1">
      <alignment horizontal="center"/>
    </xf>
    <xf numFmtId="4" fontId="4" fillId="8" borderId="1" xfId="8" applyNumberFormat="1" applyFill="1" applyBorder="1"/>
    <xf numFmtId="171" fontId="0" fillId="0" borderId="0" xfId="0" applyNumberFormat="1"/>
    <xf numFmtId="0" fontId="4" fillId="11" borderId="1" xfId="8" applyFill="1" applyBorder="1" applyAlignment="1">
      <alignment horizontal="center"/>
    </xf>
    <xf numFmtId="0" fontId="4" fillId="11" borderId="4" xfId="8" applyFill="1" applyBorder="1" applyAlignment="1">
      <alignment horizontal="center"/>
    </xf>
    <xf numFmtId="0" fontId="4" fillId="7" borderId="4" xfId="7" applyFill="1" applyBorder="1" applyAlignment="1">
      <alignment horizontal="center"/>
    </xf>
    <xf numFmtId="0" fontId="0" fillId="16" borderId="0" xfId="0" applyFill="1" applyAlignment="1">
      <alignment wrapText="1"/>
    </xf>
    <xf numFmtId="0" fontId="0" fillId="11" borderId="1" xfId="8" applyFont="1" applyFill="1" applyBorder="1"/>
    <xf numFmtId="169" fontId="4" fillId="8" borderId="1" xfId="9" applyNumberFormat="1" applyFill="1" applyBorder="1"/>
    <xf numFmtId="0" fontId="10" fillId="0" borderId="0" xfId="0" applyFont="1"/>
    <xf numFmtId="0" fontId="1" fillId="0" borderId="0" xfId="13" applyFill="1" applyBorder="1" applyAlignment="1">
      <alignment horizontal="center" vertical="center" wrapText="1"/>
    </xf>
    <xf numFmtId="3" fontId="14" fillId="0" borderId="0" xfId="0" applyNumberFormat="1" applyFont="1" applyAlignment="1">
      <alignment horizontal="right" vertical="center" wrapText="1"/>
    </xf>
    <xf numFmtId="3" fontId="0" fillId="0" borderId="0" xfId="0" applyNumberFormat="1"/>
    <xf numFmtId="0" fontId="1" fillId="0" borderId="0" xfId="0" applyFont="1" applyAlignment="1">
      <alignment vertical="center"/>
    </xf>
    <xf numFmtId="180" fontId="0" fillId="0" borderId="0" xfId="0" applyNumberFormat="1"/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166" fontId="0" fillId="0" borderId="0" xfId="0" applyNumberFormat="1"/>
    <xf numFmtId="175" fontId="4" fillId="8" borderId="1" xfId="8" applyNumberFormat="1" applyFill="1" applyBorder="1" applyAlignment="1">
      <alignment vertical="center"/>
    </xf>
    <xf numFmtId="0" fontId="13" fillId="7" borderId="1" xfId="11" applyFont="1" applyFill="1" applyBorder="1" applyAlignment="1">
      <alignment horizontal="center" vertical="center" wrapText="1"/>
    </xf>
    <xf numFmtId="0" fontId="2" fillId="11" borderId="1" xfId="3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3" fontId="14" fillId="8" borderId="1" xfId="0" applyNumberFormat="1" applyFont="1" applyFill="1" applyBorder="1" applyAlignment="1">
      <alignment horizontal="right" vertical="center" wrapText="1"/>
    </xf>
    <xf numFmtId="0" fontId="19" fillId="0" borderId="12" xfId="16" applyBorder="1"/>
    <xf numFmtId="0" fontId="21" fillId="17" borderId="0" xfId="0" applyFont="1" applyFill="1" applyAlignment="1">
      <alignment horizontal="left" vertical="center" wrapText="1"/>
    </xf>
    <xf numFmtId="0" fontId="20" fillId="19" borderId="14" xfId="16" applyFont="1" applyFill="1" applyBorder="1"/>
    <xf numFmtId="0" fontId="25" fillId="19" borderId="8" xfId="16" applyFont="1" applyFill="1" applyBorder="1"/>
    <xf numFmtId="0" fontId="25" fillId="19" borderId="15" xfId="16" applyFont="1" applyFill="1" applyBorder="1"/>
    <xf numFmtId="0" fontId="19" fillId="20" borderId="12" xfId="16" applyFill="1" applyBorder="1"/>
    <xf numFmtId="169" fontId="19" fillId="20" borderId="1" xfId="16" applyNumberFormat="1" applyFill="1" applyBorder="1" applyAlignment="1">
      <alignment horizontal="right"/>
    </xf>
    <xf numFmtId="169" fontId="19" fillId="20" borderId="1" xfId="16" applyNumberFormat="1" applyFill="1" applyBorder="1"/>
    <xf numFmtId="169" fontId="19" fillId="20" borderId="13" xfId="16" applyNumberFormat="1" applyFill="1" applyBorder="1"/>
    <xf numFmtId="169" fontId="19" fillId="0" borderId="1" xfId="16" applyNumberFormat="1" applyBorder="1"/>
    <xf numFmtId="169" fontId="19" fillId="0" borderId="13" xfId="16" applyNumberFormat="1" applyBorder="1"/>
    <xf numFmtId="169" fontId="19" fillId="8" borderId="1" xfId="16" applyNumberFormat="1" applyFill="1" applyBorder="1"/>
    <xf numFmtId="169" fontId="0" fillId="8" borderId="1" xfId="0" applyNumberFormat="1" applyFill="1" applyBorder="1"/>
    <xf numFmtId="169" fontId="4" fillId="8" borderId="1" xfId="8" applyNumberFormat="1" applyFill="1" applyBorder="1" applyAlignment="1">
      <alignment vertical="center"/>
    </xf>
    <xf numFmtId="169" fontId="4" fillId="8" borderId="1" xfId="8" applyNumberFormat="1" applyFill="1" applyBorder="1"/>
    <xf numFmtId="0" fontId="21" fillId="17" borderId="16" xfId="0" applyFont="1" applyFill="1" applyBorder="1" applyAlignment="1">
      <alignment horizontal="left" vertical="center" wrapText="1"/>
    </xf>
    <xf numFmtId="0" fontId="21" fillId="17" borderId="17" xfId="0" applyFont="1" applyFill="1" applyBorder="1" applyAlignment="1">
      <alignment horizontal="left" vertical="center" wrapText="1"/>
    </xf>
    <xf numFmtId="0" fontId="21" fillId="17" borderId="18" xfId="0" applyFont="1" applyFill="1" applyBorder="1" applyAlignment="1">
      <alignment horizontal="left" vertical="center" wrapText="1"/>
    </xf>
    <xf numFmtId="0" fontId="21" fillId="17" borderId="19" xfId="0" applyFont="1" applyFill="1" applyBorder="1" applyAlignment="1">
      <alignment horizontal="left" vertical="center" wrapText="1"/>
    </xf>
    <xf numFmtId="0" fontId="21" fillId="17" borderId="20" xfId="0" applyFont="1" applyFill="1" applyBorder="1" applyAlignment="1">
      <alignment horizontal="left" vertical="center" wrapText="1"/>
    </xf>
    <xf numFmtId="0" fontId="22" fillId="17" borderId="19" xfId="0" applyFont="1" applyFill="1" applyBorder="1" applyAlignment="1">
      <alignment horizontal="left" vertical="center" wrapText="1"/>
    </xf>
    <xf numFmtId="0" fontId="22" fillId="17" borderId="0" xfId="0" applyFont="1" applyFill="1" applyAlignment="1">
      <alignment horizontal="left" vertical="center" wrapText="1"/>
    </xf>
    <xf numFmtId="0" fontId="23" fillId="17" borderId="0" xfId="0" applyFont="1" applyFill="1" applyAlignment="1">
      <alignment horizontal="left" vertical="center" wrapText="1"/>
    </xf>
    <xf numFmtId="0" fontId="24" fillId="17" borderId="20" xfId="0" applyFont="1" applyFill="1" applyBorder="1" applyAlignment="1">
      <alignment horizontal="left" vertical="center" wrapText="1"/>
    </xf>
    <xf numFmtId="0" fontId="22" fillId="18" borderId="19" xfId="0" applyFont="1" applyFill="1" applyBorder="1" applyAlignment="1">
      <alignment horizontal="left" vertical="center" wrapText="1"/>
    </xf>
    <xf numFmtId="0" fontId="22" fillId="18" borderId="0" xfId="0" applyFont="1" applyFill="1" applyAlignment="1">
      <alignment horizontal="left" vertical="center" wrapText="1"/>
    </xf>
    <xf numFmtId="0" fontId="23" fillId="18" borderId="0" xfId="0" applyFont="1" applyFill="1" applyAlignment="1">
      <alignment horizontal="left" vertical="center" wrapText="1"/>
    </xf>
    <xf numFmtId="0" fontId="24" fillId="18" borderId="20" xfId="0" applyFont="1" applyFill="1" applyBorder="1" applyAlignment="1">
      <alignment horizontal="left" vertical="center" wrapText="1"/>
    </xf>
    <xf numFmtId="0" fontId="22" fillId="18" borderId="2" xfId="0" applyFont="1" applyFill="1" applyBorder="1" applyAlignment="1">
      <alignment horizontal="left" vertical="center" wrapText="1"/>
    </xf>
    <xf numFmtId="0" fontId="22" fillId="18" borderId="3" xfId="0" applyFont="1" applyFill="1" applyBorder="1" applyAlignment="1">
      <alignment horizontal="left" vertical="center" wrapText="1"/>
    </xf>
    <xf numFmtId="0" fontId="23" fillId="18" borderId="3" xfId="0" applyFont="1" applyFill="1" applyBorder="1" applyAlignment="1">
      <alignment horizontal="left" vertical="center" wrapText="1"/>
    </xf>
    <xf numFmtId="0" fontId="24" fillId="18" borderId="21" xfId="0" applyFont="1" applyFill="1" applyBorder="1" applyAlignment="1">
      <alignment horizontal="left" vertical="center" wrapText="1"/>
    </xf>
    <xf numFmtId="0" fontId="4" fillId="7" borderId="1" xfId="7" applyFill="1" applyBorder="1" applyAlignment="1">
      <alignment horizontal="center"/>
    </xf>
    <xf numFmtId="0" fontId="3" fillId="7" borderId="11" xfId="7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4" fontId="0" fillId="8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68" fontId="0" fillId="0" borderId="0" xfId="0" applyNumberFormat="1"/>
    <xf numFmtId="169" fontId="2" fillId="11" borderId="1" xfId="3" applyNumberFormat="1" applyFill="1" applyBorder="1" applyAlignment="1">
      <alignment horizontal="right" vertical="center" wrapText="1"/>
    </xf>
    <xf numFmtId="169" fontId="14" fillId="8" borderId="1" xfId="0" applyNumberFormat="1" applyFont="1" applyFill="1" applyBorder="1" applyAlignment="1">
      <alignment horizontal="left" vertical="center" wrapText="1"/>
    </xf>
    <xf numFmtId="169" fontId="15" fillId="8" borderId="1" xfId="0" applyNumberFormat="1" applyFont="1" applyFill="1" applyBorder="1" applyAlignment="1">
      <alignment horizontal="right" vertical="center" wrapText="1"/>
    </xf>
    <xf numFmtId="169" fontId="14" fillId="8" borderId="1" xfId="0" applyNumberFormat="1" applyFont="1" applyFill="1" applyBorder="1" applyAlignment="1">
      <alignment horizontal="right" vertical="center" wrapText="1"/>
    </xf>
    <xf numFmtId="169" fontId="14" fillId="8" borderId="1" xfId="0" applyNumberFormat="1" applyFont="1" applyFill="1" applyBorder="1" applyAlignment="1">
      <alignment horizontal="right" vertical="center"/>
    </xf>
    <xf numFmtId="0" fontId="2" fillId="7" borderId="1" xfId="4" applyFill="1" applyBorder="1" applyAlignment="1">
      <alignment vertical="center"/>
    </xf>
    <xf numFmtId="179" fontId="2" fillId="7" borderId="1" xfId="4" applyNumberFormat="1" applyFill="1" applyBorder="1" applyAlignment="1">
      <alignment vertical="center"/>
    </xf>
    <xf numFmtId="0" fontId="2" fillId="7" borderId="1" xfId="3" applyFill="1" applyBorder="1" applyAlignment="1">
      <alignment vertical="center"/>
    </xf>
    <xf numFmtId="3" fontId="2" fillId="7" borderId="1" xfId="3" applyNumberFormat="1" applyFill="1" applyBorder="1" applyAlignment="1">
      <alignment horizontal="right" vertical="center" wrapText="1"/>
    </xf>
    <xf numFmtId="0" fontId="2" fillId="7" borderId="1" xfId="4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9" fontId="2" fillId="7" borderId="1" xfId="3" applyNumberForma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7" borderId="1" xfId="3" applyFill="1" applyBorder="1" applyAlignment="1">
      <alignment horizontal="left" vertical="center"/>
    </xf>
    <xf numFmtId="179" fontId="2" fillId="7" borderId="1" xfId="3" applyNumberFormat="1" applyFill="1" applyBorder="1" applyAlignment="1">
      <alignment vertical="center"/>
    </xf>
    <xf numFmtId="169" fontId="1" fillId="0" borderId="0" xfId="0" applyNumberFormat="1" applyFont="1" applyAlignment="1">
      <alignment horizontal="right" vertical="center"/>
    </xf>
    <xf numFmtId="169" fontId="2" fillId="7" borderId="1" xfId="3" applyNumberFormat="1" applyFill="1" applyBorder="1" applyAlignment="1">
      <alignment horizontal="right" vertical="center" wrapText="1"/>
    </xf>
    <xf numFmtId="169" fontId="2" fillId="7" borderId="4" xfId="3" applyNumberFormat="1" applyFill="1" applyBorder="1" applyAlignment="1">
      <alignment horizontal="right" vertical="center" wrapText="1"/>
    </xf>
    <xf numFmtId="169" fontId="2" fillId="7" borderId="6" xfId="3" applyNumberFormat="1" applyFill="1" applyBorder="1" applyAlignment="1">
      <alignment horizontal="right" vertical="center" wrapText="1"/>
    </xf>
    <xf numFmtId="169" fontId="1" fillId="8" borderId="1" xfId="13" applyNumberFormat="1" applyFill="1" applyBorder="1" applyAlignment="1">
      <alignment horizontal="right" vertical="center" wrapText="1"/>
    </xf>
    <xf numFmtId="0" fontId="2" fillId="7" borderId="1" xfId="3" applyFill="1" applyBorder="1" applyAlignment="1">
      <alignment horizontal="justify" vertical="center" wrapText="1"/>
    </xf>
    <xf numFmtId="169" fontId="2" fillId="7" borderId="1" xfId="1" applyNumberFormat="1" applyFill="1" applyBorder="1" applyAlignment="1">
      <alignment vertical="center"/>
    </xf>
    <xf numFmtId="10" fontId="2" fillId="7" borderId="1" xfId="3" applyNumberFormat="1" applyFill="1" applyBorder="1" applyAlignment="1">
      <alignment vertical="center"/>
    </xf>
    <xf numFmtId="177" fontId="2" fillId="7" borderId="1" xfId="3" applyNumberFormat="1" applyFill="1" applyBorder="1" applyAlignment="1">
      <alignment vertical="center"/>
    </xf>
    <xf numFmtId="2" fontId="2" fillId="7" borderId="1" xfId="3" applyNumberFormat="1" applyFill="1" applyBorder="1" applyAlignment="1">
      <alignment vertical="center"/>
    </xf>
    <xf numFmtId="0" fontId="1" fillId="8" borderId="1" xfId="0" quotePrefix="1" applyFont="1" applyFill="1" applyBorder="1" applyAlignment="1">
      <alignment vertical="center"/>
    </xf>
    <xf numFmtId="3" fontId="1" fillId="8" borderId="1" xfId="0" applyNumberFormat="1" applyFont="1" applyFill="1" applyBorder="1" applyAlignment="1">
      <alignment vertical="center"/>
    </xf>
    <xf numFmtId="0" fontId="4" fillId="8" borderId="1" xfId="7" applyFill="1" applyBorder="1" applyAlignment="1">
      <alignment vertical="center"/>
    </xf>
    <xf numFmtId="169" fontId="15" fillId="8" borderId="1" xfId="15" applyNumberFormat="1" applyFont="1" applyFill="1" applyBorder="1" applyAlignment="1">
      <alignment horizontal="right" vertical="center" wrapText="1"/>
    </xf>
    <xf numFmtId="169" fontId="15" fillId="8" borderId="4" xfId="15" applyNumberFormat="1" applyFont="1" applyFill="1" applyBorder="1" applyAlignment="1">
      <alignment horizontal="right" vertical="center" wrapText="1"/>
    </xf>
    <xf numFmtId="169" fontId="14" fillId="8" borderId="1" xfId="15" applyNumberFormat="1" applyFont="1" applyFill="1" applyBorder="1" applyAlignment="1">
      <alignment horizontal="right" vertical="center" wrapText="1"/>
    </xf>
    <xf numFmtId="169" fontId="14" fillId="8" borderId="1" xfId="17" applyNumberFormat="1" applyFont="1" applyFill="1" applyBorder="1" applyAlignment="1">
      <alignment horizontal="right" vertical="center" wrapText="1"/>
    </xf>
    <xf numFmtId="169" fontId="15" fillId="8" borderId="1" xfId="17" applyNumberFormat="1" applyFont="1" applyFill="1" applyBorder="1" applyAlignment="1">
      <alignment horizontal="right" vertical="center" wrapText="1"/>
    </xf>
    <xf numFmtId="169" fontId="14" fillId="8" borderId="4" xfId="0" applyNumberFormat="1" applyFont="1" applyFill="1" applyBorder="1" applyAlignment="1">
      <alignment horizontal="right" vertical="center" wrapText="1"/>
    </xf>
    <xf numFmtId="9" fontId="0" fillId="0" borderId="0" xfId="2" applyFont="1"/>
    <xf numFmtId="0" fontId="8" fillId="7" borderId="4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4" xfId="0" applyFill="1" applyBorder="1" applyAlignment="1">
      <alignment wrapText="1"/>
    </xf>
    <xf numFmtId="4" fontId="8" fillId="7" borderId="24" xfId="0" applyNumberFormat="1" applyFont="1" applyFill="1" applyBorder="1"/>
    <xf numFmtId="0" fontId="1" fillId="7" borderId="1" xfId="0" applyFont="1" applyFill="1" applyBorder="1"/>
    <xf numFmtId="4" fontId="8" fillId="11" borderId="25" xfId="0" applyNumberFormat="1" applyFont="1" applyFill="1" applyBorder="1"/>
    <xf numFmtId="4" fontId="8" fillId="11" borderId="9" xfId="0" applyNumberFormat="1" applyFont="1" applyFill="1" applyBorder="1"/>
    <xf numFmtId="4" fontId="8" fillId="11" borderId="26" xfId="0" applyNumberFormat="1" applyFont="1" applyFill="1" applyBorder="1"/>
    <xf numFmtId="4" fontId="8" fillId="11" borderId="28" xfId="0" applyNumberFormat="1" applyFont="1" applyFill="1" applyBorder="1"/>
    <xf numFmtId="0" fontId="0" fillId="8" borderId="4" xfId="0" applyFill="1" applyBorder="1"/>
    <xf numFmtId="0" fontId="8" fillId="7" borderId="1" xfId="0" applyFont="1" applyFill="1" applyBorder="1" applyAlignment="1">
      <alignment wrapText="1"/>
    </xf>
    <xf numFmtId="0" fontId="1" fillId="7" borderId="1" xfId="8" applyFont="1" applyFill="1" applyBorder="1" applyAlignment="1">
      <alignment horizontal="center"/>
    </xf>
    <xf numFmtId="0" fontId="4" fillId="7" borderId="1" xfId="8" applyFill="1" applyBorder="1" applyAlignment="1">
      <alignment horizontal="center"/>
    </xf>
    <xf numFmtId="0" fontId="8" fillId="7" borderId="22" xfId="0" applyFont="1" applyFill="1" applyBorder="1" applyAlignment="1">
      <alignment wrapText="1"/>
    </xf>
    <xf numFmtId="0" fontId="8" fillId="7" borderId="24" xfId="0" applyFont="1" applyFill="1" applyBorder="1" applyAlignment="1">
      <alignment wrapText="1"/>
    </xf>
    <xf numFmtId="4" fontId="8" fillId="11" borderId="22" xfId="0" applyNumberFormat="1" applyFont="1" applyFill="1" applyBorder="1"/>
    <xf numFmtId="4" fontId="8" fillId="11" borderId="23" xfId="0" applyNumberFormat="1" applyFont="1" applyFill="1" applyBorder="1"/>
    <xf numFmtId="4" fontId="8" fillId="11" borderId="24" xfId="0" applyNumberFormat="1" applyFont="1" applyFill="1" applyBorder="1"/>
    <xf numFmtId="4" fontId="0" fillId="11" borderId="25" xfId="0" applyNumberFormat="1" applyFill="1" applyBorder="1"/>
    <xf numFmtId="4" fontId="0" fillId="11" borderId="1" xfId="0" applyNumberFormat="1" applyFill="1" applyBorder="1"/>
    <xf numFmtId="4" fontId="8" fillId="11" borderId="1" xfId="0" applyNumberFormat="1" applyFont="1" applyFill="1" applyBorder="1"/>
    <xf numFmtId="4" fontId="0" fillId="11" borderId="26" xfId="0" applyNumberFormat="1" applyFill="1" applyBorder="1"/>
    <xf numFmtId="4" fontId="0" fillId="11" borderId="27" xfId="0" applyNumberFormat="1" applyFill="1" applyBorder="1"/>
    <xf numFmtId="0" fontId="8" fillId="11" borderId="27" xfId="0" applyFont="1" applyFill="1" applyBorder="1"/>
    <xf numFmtId="0" fontId="8" fillId="11" borderId="28" xfId="0" applyFont="1" applyFill="1" applyBorder="1"/>
    <xf numFmtId="4" fontId="8" fillId="7" borderId="29" xfId="0" applyNumberFormat="1" applyFont="1" applyFill="1" applyBorder="1" applyAlignment="1">
      <alignment wrapText="1"/>
    </xf>
    <xf numFmtId="4" fontId="0" fillId="8" borderId="1" xfId="0" applyNumberFormat="1" applyFill="1" applyBorder="1"/>
    <xf numFmtId="4" fontId="0" fillId="8" borderId="4" xfId="0" applyNumberFormat="1" applyFill="1" applyBorder="1"/>
    <xf numFmtId="4" fontId="0" fillId="8" borderId="11" xfId="0" applyNumberFormat="1" applyFill="1" applyBorder="1"/>
    <xf numFmtId="4" fontId="0" fillId="8" borderId="30" xfId="0" applyNumberFormat="1" applyFill="1" applyBorder="1"/>
    <xf numFmtId="4" fontId="8" fillId="7" borderId="22" xfId="0" applyNumberFormat="1" applyFont="1" applyFill="1" applyBorder="1" applyAlignment="1">
      <alignment wrapText="1"/>
    </xf>
    <xf numFmtId="4" fontId="0" fillId="7" borderId="24" xfId="0" applyNumberFormat="1" applyFill="1" applyBorder="1" applyAlignment="1">
      <alignment wrapText="1"/>
    </xf>
    <xf numFmtId="4" fontId="0" fillId="11" borderId="9" xfId="0" applyNumberFormat="1" applyFill="1" applyBorder="1"/>
    <xf numFmtId="4" fontId="0" fillId="11" borderId="28" xfId="0" applyNumberFormat="1" applyFill="1" applyBorder="1"/>
    <xf numFmtId="4" fontId="0" fillId="11" borderId="22" xfId="0" applyNumberFormat="1" applyFill="1" applyBorder="1"/>
    <xf numFmtId="4" fontId="0" fillId="11" borderId="23" xfId="0" applyNumberFormat="1" applyFill="1" applyBorder="1"/>
    <xf numFmtId="4" fontId="0" fillId="11" borderId="24" xfId="0" applyNumberFormat="1" applyFill="1" applyBorder="1"/>
    <xf numFmtId="4" fontId="8" fillId="11" borderId="27" xfId="0" applyNumberFormat="1" applyFont="1" applyFill="1" applyBorder="1"/>
    <xf numFmtId="4" fontId="8" fillId="7" borderId="11" xfId="0" applyNumberFormat="1" applyFont="1" applyFill="1" applyBorder="1" applyAlignment="1">
      <alignment wrapText="1"/>
    </xf>
    <xf numFmtId="4" fontId="0" fillId="7" borderId="11" xfId="0" applyNumberFormat="1" applyFill="1" applyBorder="1" applyAlignment="1">
      <alignment wrapText="1"/>
    </xf>
    <xf numFmtId="4" fontId="0" fillId="11" borderId="31" xfId="0" applyNumberFormat="1" applyFill="1" applyBorder="1"/>
    <xf numFmtId="4" fontId="0" fillId="11" borderId="32" xfId="0" applyNumberFormat="1" applyFill="1" applyBorder="1"/>
    <xf numFmtId="4" fontId="8" fillId="11" borderId="33" xfId="0" applyNumberFormat="1" applyFont="1" applyFill="1" applyBorder="1"/>
    <xf numFmtId="4" fontId="0" fillId="11" borderId="34" xfId="0" applyNumberFormat="1" applyFill="1" applyBorder="1"/>
    <xf numFmtId="4" fontId="8" fillId="7" borderId="35" xfId="0" applyNumberFormat="1" applyFont="1" applyFill="1" applyBorder="1"/>
    <xf numFmtId="0" fontId="0" fillId="7" borderId="8" xfId="0" applyFill="1" applyBorder="1"/>
    <xf numFmtId="0" fontId="0" fillId="8" borderId="8" xfId="0" applyFill="1" applyBorder="1"/>
    <xf numFmtId="4" fontId="8" fillId="11" borderId="36" xfId="0" applyNumberFormat="1" applyFont="1" applyFill="1" applyBorder="1"/>
    <xf numFmtId="4" fontId="8" fillId="11" borderId="37" xfId="0" applyNumberFormat="1" applyFont="1" applyFill="1" applyBorder="1"/>
    <xf numFmtId="4" fontId="0" fillId="7" borderId="1" xfId="0" applyNumberFormat="1" applyFill="1" applyBorder="1" applyAlignment="1">
      <alignment wrapText="1"/>
    </xf>
    <xf numFmtId="0" fontId="8" fillId="11" borderId="1" xfId="0" applyFont="1" applyFill="1" applyBorder="1"/>
    <xf numFmtId="0" fontId="1" fillId="11" borderId="1" xfId="8" applyFont="1" applyFill="1" applyBorder="1" applyAlignment="1">
      <alignment horizontal="left"/>
    </xf>
    <xf numFmtId="172" fontId="0" fillId="8" borderId="1" xfId="1" applyNumberFormat="1" applyFont="1" applyFill="1" applyBorder="1"/>
    <xf numFmtId="0" fontId="1" fillId="11" borderId="1" xfId="8" applyFont="1" applyFill="1" applyBorder="1"/>
    <xf numFmtId="181" fontId="0" fillId="0" borderId="0" xfId="0" applyNumberFormat="1"/>
    <xf numFmtId="0" fontId="1" fillId="8" borderId="1" xfId="7" applyFont="1" applyFill="1" applyBorder="1" applyAlignment="1">
      <alignment horizontal="left"/>
    </xf>
    <xf numFmtId="0" fontId="1" fillId="7" borderId="1" xfId="8" applyFont="1" applyFill="1" applyBorder="1" applyAlignment="1">
      <alignment horizontal="left"/>
    </xf>
    <xf numFmtId="4" fontId="3" fillId="0" borderId="0" xfId="0" applyNumberFormat="1" applyFont="1"/>
    <xf numFmtId="172" fontId="4" fillId="8" borderId="4" xfId="9" applyNumberFormat="1" applyFill="1" applyBorder="1" applyAlignment="1">
      <alignment horizontal="right"/>
    </xf>
    <xf numFmtId="172" fontId="4" fillId="8" borderId="1" xfId="9" applyNumberFormat="1" applyFill="1" applyBorder="1" applyAlignment="1">
      <alignment horizontal="right"/>
    </xf>
    <xf numFmtId="172" fontId="4" fillId="11" borderId="4" xfId="8" applyNumberFormat="1" applyFill="1" applyBorder="1" applyAlignment="1">
      <alignment horizontal="right"/>
    </xf>
    <xf numFmtId="172" fontId="4" fillId="11" borderId="1" xfId="8" applyNumberFormat="1" applyFill="1" applyBorder="1" applyAlignment="1">
      <alignment horizontal="right"/>
    </xf>
    <xf numFmtId="172" fontId="4" fillId="7" borderId="4" xfId="7" applyNumberFormat="1" applyFill="1" applyBorder="1" applyAlignment="1">
      <alignment horizontal="right"/>
    </xf>
    <xf numFmtId="172" fontId="4" fillId="7" borderId="1" xfId="7" applyNumberFormat="1" applyFill="1" applyBorder="1" applyAlignment="1">
      <alignment horizontal="right"/>
    </xf>
    <xf numFmtId="0" fontId="1" fillId="8" borderId="1" xfId="8" applyFont="1" applyFill="1" applyBorder="1" applyAlignment="1"/>
    <xf numFmtId="4" fontId="0" fillId="11" borderId="38" xfId="0" applyNumberFormat="1" applyFill="1" applyBorder="1"/>
    <xf numFmtId="4" fontId="0" fillId="11" borderId="39" xfId="0" applyNumberFormat="1" applyFill="1" applyBorder="1"/>
    <xf numFmtId="4" fontId="0" fillId="11" borderId="40" xfId="0" applyNumberFormat="1" applyFill="1" applyBorder="1"/>
    <xf numFmtId="169" fontId="4" fillId="8" borderId="1" xfId="9" applyNumberFormat="1" applyFill="1" applyBorder="1" applyAlignment="1"/>
    <xf numFmtId="169" fontId="4" fillId="8" borderId="1" xfId="9" applyNumberFormat="1" applyFill="1" applyBorder="1" applyAlignment="1">
      <alignment horizontal="right"/>
    </xf>
    <xf numFmtId="169" fontId="4" fillId="8" borderId="1" xfId="9" applyNumberFormat="1" applyFill="1" applyBorder="1" applyAlignment="1">
      <alignment vertical="center"/>
    </xf>
    <xf numFmtId="169" fontId="4" fillId="7" borderId="1" xfId="7" applyNumberFormat="1" applyFill="1" applyBorder="1" applyAlignment="1"/>
    <xf numFmtId="169" fontId="0" fillId="7" borderId="1" xfId="0" applyNumberFormat="1" applyFill="1" applyBorder="1"/>
    <xf numFmtId="169" fontId="4" fillId="7" borderId="1" xfId="7" applyNumberFormat="1" applyFill="1" applyBorder="1"/>
    <xf numFmtId="182" fontId="4" fillId="8" borderId="1" xfId="8" applyNumberFormat="1" applyFill="1" applyBorder="1"/>
    <xf numFmtId="182" fontId="0" fillId="7" borderId="1" xfId="0" applyNumberFormat="1" applyFill="1" applyBorder="1"/>
    <xf numFmtId="169" fontId="4" fillId="8" borderId="4" xfId="9" applyNumberFormat="1" applyFill="1" applyBorder="1" applyAlignment="1">
      <alignment horizontal="right"/>
    </xf>
    <xf numFmtId="169" fontId="26" fillId="8" borderId="4" xfId="9" applyNumberFormat="1" applyFont="1" applyFill="1" applyBorder="1" applyAlignment="1">
      <alignment horizontal="right"/>
    </xf>
    <xf numFmtId="9" fontId="0" fillId="8" borderId="1" xfId="2" applyFont="1" applyFill="1" applyBorder="1"/>
    <xf numFmtId="169" fontId="0" fillId="0" borderId="0" xfId="0" applyNumberFormat="1"/>
    <xf numFmtId="10" fontId="4" fillId="8" borderId="1" xfId="2" applyNumberFormat="1" applyFont="1" applyFill="1" applyBorder="1"/>
    <xf numFmtId="9" fontId="3" fillId="7" borderId="1" xfId="2" applyFont="1" applyFill="1" applyBorder="1" applyAlignment="1">
      <alignment horizontal="right"/>
    </xf>
    <xf numFmtId="169" fontId="4" fillId="7" borderId="1" xfId="8" applyNumberFormat="1" applyFill="1" applyBorder="1" applyAlignment="1">
      <alignment horizontal="right"/>
    </xf>
    <xf numFmtId="169" fontId="1" fillId="0" borderId="0" xfId="0" applyNumberFormat="1" applyFont="1" applyAlignment="1">
      <alignment vertical="center"/>
    </xf>
    <xf numFmtId="0" fontId="4" fillId="8" borderId="1" xfId="9" applyFill="1" applyBorder="1" applyAlignment="1">
      <alignment horizontal="left"/>
    </xf>
    <xf numFmtId="0" fontId="4" fillId="8" borderId="4" xfId="9" applyFill="1" applyBorder="1" applyAlignment="1">
      <alignment horizontal="left"/>
    </xf>
    <xf numFmtId="0" fontId="1" fillId="8" borderId="4" xfId="9" applyFont="1" applyFill="1" applyBorder="1" applyAlignment="1">
      <alignment horizontal="left"/>
    </xf>
    <xf numFmtId="0" fontId="1" fillId="8" borderId="10" xfId="9" applyFont="1" applyFill="1" applyBorder="1" applyAlignment="1">
      <alignment horizontal="left"/>
    </xf>
    <xf numFmtId="169" fontId="1" fillId="11" borderId="1" xfId="8" applyNumberFormat="1" applyFont="1" applyFill="1" applyBorder="1"/>
    <xf numFmtId="169" fontId="4" fillId="11" borderId="1" xfId="8" applyNumberFormat="1" applyFill="1" applyBorder="1"/>
    <xf numFmtId="169" fontId="3" fillId="7" borderId="1" xfId="7" applyNumberFormat="1" applyFont="1" applyFill="1" applyBorder="1"/>
    <xf numFmtId="169" fontId="4" fillId="11" borderId="1" xfId="8" applyNumberFormat="1" applyFill="1" applyBorder="1" applyAlignment="1">
      <alignment horizontal="center" vertical="center"/>
    </xf>
    <xf numFmtId="0" fontId="3" fillId="7" borderId="1" xfId="4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7" borderId="4" xfId="3" applyFont="1" applyFill="1" applyBorder="1" applyAlignment="1">
      <alignment horizontal="center"/>
    </xf>
    <xf numFmtId="0" fontId="6" fillId="7" borderId="5" xfId="3" applyFont="1" applyFill="1" applyBorder="1" applyAlignment="1">
      <alignment horizontal="center"/>
    </xf>
    <xf numFmtId="0" fontId="6" fillId="7" borderId="6" xfId="3" applyFont="1" applyFill="1" applyBorder="1" applyAlignment="1">
      <alignment horizontal="center"/>
    </xf>
    <xf numFmtId="0" fontId="3" fillId="7" borderId="2" xfId="7" applyFont="1" applyFill="1" applyBorder="1" applyAlignment="1">
      <alignment horizontal="center"/>
    </xf>
    <xf numFmtId="0" fontId="3" fillId="7" borderId="3" xfId="7" applyFont="1" applyFill="1" applyBorder="1" applyAlignment="1">
      <alignment horizontal="center"/>
    </xf>
    <xf numFmtId="0" fontId="3" fillId="7" borderId="4" xfId="7" applyFont="1" applyFill="1" applyBorder="1" applyAlignment="1">
      <alignment horizontal="center"/>
    </xf>
    <xf numFmtId="0" fontId="3" fillId="7" borderId="5" xfId="7" applyFont="1" applyFill="1" applyBorder="1" applyAlignment="1">
      <alignment horizontal="center"/>
    </xf>
    <xf numFmtId="0" fontId="3" fillId="7" borderId="6" xfId="7" applyFont="1" applyFill="1" applyBorder="1" applyAlignment="1">
      <alignment horizontal="center"/>
    </xf>
    <xf numFmtId="0" fontId="3" fillId="7" borderId="4" xfId="7" applyFont="1" applyFill="1" applyBorder="1" applyAlignment="1">
      <alignment horizontal="center" vertical="center"/>
    </xf>
    <xf numFmtId="0" fontId="3" fillId="7" borderId="5" xfId="7" applyFont="1" applyFill="1" applyBorder="1" applyAlignment="1">
      <alignment horizontal="center" vertical="center"/>
    </xf>
    <xf numFmtId="0" fontId="3" fillId="7" borderId="6" xfId="7" applyFont="1" applyFill="1" applyBorder="1" applyAlignment="1">
      <alignment horizontal="center" vertical="center"/>
    </xf>
    <xf numFmtId="0" fontId="3" fillId="7" borderId="1" xfId="7" applyFont="1" applyFill="1" applyBorder="1" applyAlignment="1">
      <alignment horizontal="center" vertical="center"/>
    </xf>
    <xf numFmtId="0" fontId="4" fillId="8" borderId="1" xfId="8" applyFill="1" applyBorder="1" applyAlignment="1">
      <alignment horizontal="center"/>
    </xf>
    <xf numFmtId="0" fontId="3" fillId="7" borderId="4" xfId="7" applyFont="1" applyFill="1" applyBorder="1" applyAlignment="1">
      <alignment horizontal="left"/>
    </xf>
    <xf numFmtId="0" fontId="3" fillId="7" borderId="5" xfId="7" applyFont="1" applyFill="1" applyBorder="1" applyAlignment="1">
      <alignment horizontal="left"/>
    </xf>
    <xf numFmtId="0" fontId="4" fillId="8" borderId="1" xfId="8" applyFill="1" applyBorder="1" applyAlignment="1">
      <alignment horizontal="left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1" xfId="7" applyFont="1" applyFill="1" applyBorder="1" applyAlignment="1" applyProtection="1">
      <alignment horizontal="left" vertical="center"/>
    </xf>
    <xf numFmtId="0" fontId="3" fillId="7" borderId="1" xfId="7" applyFont="1" applyFill="1" applyBorder="1" applyAlignment="1">
      <alignment horizontal="left" vertical="center"/>
    </xf>
    <xf numFmtId="0" fontId="3" fillId="7" borderId="1" xfId="7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166" fontId="3" fillId="10" borderId="1" xfId="0" applyNumberFormat="1" applyFont="1" applyFill="1" applyBorder="1" applyAlignment="1">
      <alignment horizontal="right" vertical="center"/>
    </xf>
    <xf numFmtId="0" fontId="3" fillId="7" borderId="1" xfId="7" applyFont="1" applyFill="1" applyBorder="1" applyAlignment="1">
      <alignment horizontal="center"/>
    </xf>
    <xf numFmtId="0" fontId="3" fillId="9" borderId="11" xfId="6" applyFont="1" applyFill="1" applyBorder="1" applyAlignment="1">
      <alignment horizontal="left" vertical="center" wrapText="1"/>
    </xf>
    <xf numFmtId="0" fontId="3" fillId="9" borderId="8" xfId="6" applyFont="1" applyFill="1" applyBorder="1" applyAlignment="1">
      <alignment horizontal="left" vertical="center" wrapText="1"/>
    </xf>
    <xf numFmtId="166" fontId="3" fillId="10" borderId="1" xfId="5" applyNumberFormat="1" applyFont="1" applyFill="1" applyBorder="1" applyAlignment="1">
      <alignment horizontal="right" vertical="center"/>
    </xf>
    <xf numFmtId="0" fontId="4" fillId="8" borderId="1" xfId="9" applyFill="1" applyBorder="1" applyAlignment="1">
      <alignment horizontal="center" vertical="center"/>
    </xf>
    <xf numFmtId="0" fontId="4" fillId="7" borderId="1" xfId="7" applyFill="1" applyBorder="1" applyAlignment="1">
      <alignment horizontal="center" vertical="center"/>
    </xf>
    <xf numFmtId="10" fontId="3" fillId="7" borderId="1" xfId="2" applyNumberFormat="1" applyFont="1" applyFill="1" applyBorder="1" applyAlignment="1">
      <alignment horizontal="center" vertical="center"/>
    </xf>
    <xf numFmtId="0" fontId="2" fillId="7" borderId="1" xfId="3" applyFill="1" applyBorder="1" applyAlignment="1">
      <alignment horizontal="center" vertical="center" wrapText="1"/>
    </xf>
    <xf numFmtId="0" fontId="2" fillId="7" borderId="1" xfId="3" applyFill="1" applyBorder="1" applyAlignment="1">
      <alignment horizontal="center" vertical="center"/>
    </xf>
    <xf numFmtId="0" fontId="11" fillId="7" borderId="1" xfId="11" applyFont="1" applyFill="1" applyBorder="1" applyAlignment="1">
      <alignment horizontal="center"/>
    </xf>
    <xf numFmtId="0" fontId="8" fillId="7" borderId="1" xfId="4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0" fontId="8" fillId="7" borderId="1" xfId="4" applyFont="1" applyFill="1" applyBorder="1" applyAlignment="1">
      <alignment horizontal="center" wrapText="1"/>
    </xf>
    <xf numFmtId="10" fontId="0" fillId="8" borderId="11" xfId="0" applyNumberFormat="1" applyFill="1" applyBorder="1" applyAlignment="1">
      <alignment horizontal="center" vertical="center"/>
    </xf>
    <xf numFmtId="10" fontId="0" fillId="8" borderId="8" xfId="0" applyNumberFormat="1" applyFill="1" applyBorder="1" applyAlignment="1">
      <alignment horizontal="center" vertical="center"/>
    </xf>
    <xf numFmtId="2" fontId="0" fillId="8" borderId="11" xfId="2" applyNumberFormat="1" applyFont="1" applyFill="1" applyBorder="1" applyAlignment="1">
      <alignment horizontal="center" vertical="center"/>
    </xf>
    <xf numFmtId="2" fontId="0" fillId="8" borderId="8" xfId="2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8" fillId="7" borderId="1" xfId="4" applyFont="1" applyFill="1" applyBorder="1" applyAlignment="1">
      <alignment horizontal="center" vertical="center" wrapText="1"/>
    </xf>
    <xf numFmtId="4" fontId="0" fillId="8" borderId="1" xfId="0" applyNumberFormat="1" applyFill="1" applyBorder="1" applyAlignment="1">
      <alignment horizontal="center" vertical="center"/>
    </xf>
  </cellXfs>
  <cellStyles count="18">
    <cellStyle name="20% - Accent1 2" xfId="9" xr:uid="{00000000-0005-0000-0000-000000000000}"/>
    <cellStyle name="20% - Accent2 2" xfId="13" xr:uid="{2E4D5DE6-F6B4-49C1-9BAC-6A1DA2520D84}"/>
    <cellStyle name="40% - Accent1 2" xfId="8" xr:uid="{00000000-0005-0000-0000-000002000000}"/>
    <cellStyle name="40% - Accent2 2" xfId="14" xr:uid="{384D71FE-9267-40D4-B882-2CCB19D49AD8}"/>
    <cellStyle name="40% - Isticanje1" xfId="3" builtinId="31"/>
    <cellStyle name="40% - Isticanje6" xfId="5" builtinId="51"/>
    <cellStyle name="60% - Accent1 2" xfId="7" xr:uid="{00000000-0005-0000-0000-000005000000}"/>
    <cellStyle name="60% - Isticanje1" xfId="4" builtinId="32"/>
    <cellStyle name="60% - Isticanje6" xfId="6" builtinId="52"/>
    <cellStyle name="Comma 2" xfId="15" xr:uid="{5F3D3668-1DDC-49DB-86AF-05B4DAA6ABA8}"/>
    <cellStyle name="Isticanje1" xfId="11" builtinId="29"/>
    <cellStyle name="Neutral 2" xfId="12" xr:uid="{2CA457F5-88A5-4D4D-962E-5CBAA37928A2}"/>
    <cellStyle name="Normal 2" xfId="16" xr:uid="{48A423FC-2B38-46FD-8B3E-A2ED58AE6F27}"/>
    <cellStyle name="Normalno" xfId="0" builtinId="0"/>
    <cellStyle name="Normalno 2" xfId="10" xr:uid="{00000000-0005-0000-0000-000009000000}"/>
    <cellStyle name="Postotak" xfId="2" builtinId="5"/>
    <cellStyle name="Valuta" xfId="1" builtinId="4"/>
    <cellStyle name="Zarez" xfId="17" builtinId="3"/>
  </cellStyles>
  <dxfs count="0"/>
  <tableStyles count="0" defaultTableStyle="TableStyleMedium2" defaultPivotStyle="PivotStyleLight16"/>
  <colors>
    <mruColors>
      <color rgb="FF7CF4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29"/>
  <sheetViews>
    <sheetView topLeftCell="A4" zoomScale="90" zoomScaleNormal="90" workbookViewId="0">
      <selection sqref="A1:B1"/>
    </sheetView>
  </sheetViews>
  <sheetFormatPr defaultRowHeight="14.4" x14ac:dyDescent="0.3"/>
  <cols>
    <col min="1" max="1" width="39" customWidth="1"/>
    <col min="2" max="2" width="18.88671875" customWidth="1"/>
    <col min="4" max="4" width="15.88671875" customWidth="1"/>
    <col min="5" max="5" width="14" customWidth="1"/>
    <col min="7" max="7" width="28.44140625" customWidth="1"/>
    <col min="8" max="8" width="16" customWidth="1"/>
    <col min="9" max="9" width="14.109375" customWidth="1"/>
    <col min="10" max="10" width="13.33203125" customWidth="1"/>
  </cols>
  <sheetData>
    <row r="1" spans="1:10" ht="14.4" customHeight="1" x14ac:dyDescent="0.3">
      <c r="A1" s="309" t="s">
        <v>8</v>
      </c>
      <c r="B1" s="309"/>
      <c r="G1" s="310" t="s">
        <v>30</v>
      </c>
      <c r="H1" s="310"/>
      <c r="I1" s="310"/>
      <c r="J1" s="310"/>
    </row>
    <row r="2" spans="1:10" ht="14.4" customHeight="1" x14ac:dyDescent="0.3">
      <c r="A2" s="1" t="s">
        <v>0</v>
      </c>
      <c r="B2" s="2" t="s">
        <v>1</v>
      </c>
      <c r="G2" s="7" t="s">
        <v>18</v>
      </c>
      <c r="H2" s="7" t="s">
        <v>9</v>
      </c>
      <c r="I2" s="7" t="s">
        <v>10</v>
      </c>
      <c r="J2" s="7" t="s">
        <v>1</v>
      </c>
    </row>
    <row r="3" spans="1:10" ht="14.4" customHeight="1" x14ac:dyDescent="0.3">
      <c r="A3" s="3" t="s">
        <v>2</v>
      </c>
      <c r="B3" s="4">
        <v>1.5</v>
      </c>
      <c r="G3" s="8" t="s">
        <v>20</v>
      </c>
      <c r="H3" s="5">
        <v>1000</v>
      </c>
      <c r="I3" s="9">
        <v>2</v>
      </c>
      <c r="J3" s="24">
        <f>H3*I3</f>
        <v>2000</v>
      </c>
    </row>
    <row r="4" spans="1:10" ht="14.4" customHeight="1" x14ac:dyDescent="0.3">
      <c r="A4" s="3" t="s">
        <v>3</v>
      </c>
      <c r="B4" s="5">
        <v>20</v>
      </c>
      <c r="G4" s="8" t="s">
        <v>21</v>
      </c>
      <c r="H4" s="5">
        <v>500</v>
      </c>
      <c r="I4" s="9">
        <v>2</v>
      </c>
      <c r="J4" s="24">
        <f t="shared" ref="J4:J8" si="0">H4*I4</f>
        <v>1000</v>
      </c>
    </row>
    <row r="5" spans="1:10" ht="14.4" customHeight="1" x14ac:dyDescent="0.3">
      <c r="A5" s="3" t="s">
        <v>4</v>
      </c>
      <c r="B5" s="5">
        <v>330</v>
      </c>
      <c r="G5" s="8" t="s">
        <v>22</v>
      </c>
      <c r="H5" s="5">
        <v>200</v>
      </c>
      <c r="I5" s="9">
        <v>2</v>
      </c>
      <c r="J5" s="24">
        <f t="shared" si="0"/>
        <v>400</v>
      </c>
    </row>
    <row r="6" spans="1:10" ht="14.4" customHeight="1" x14ac:dyDescent="0.3">
      <c r="A6" s="3" t="s">
        <v>5</v>
      </c>
      <c r="B6" s="5">
        <v>53</v>
      </c>
      <c r="G6" s="8" t="s">
        <v>23</v>
      </c>
      <c r="H6" s="5">
        <v>350</v>
      </c>
      <c r="I6" s="9">
        <v>3</v>
      </c>
      <c r="J6" s="24">
        <f t="shared" si="0"/>
        <v>1050</v>
      </c>
    </row>
    <row r="7" spans="1:10" ht="14.4" customHeight="1" x14ac:dyDescent="0.3">
      <c r="A7" s="3" t="s">
        <v>6</v>
      </c>
      <c r="B7" s="5">
        <v>30</v>
      </c>
      <c r="G7" s="8" t="s">
        <v>24</v>
      </c>
      <c r="H7" s="5">
        <v>50</v>
      </c>
      <c r="I7" s="9">
        <v>1</v>
      </c>
      <c r="J7" s="24">
        <f t="shared" si="0"/>
        <v>50</v>
      </c>
    </row>
    <row r="8" spans="1:10" ht="14.4" customHeight="1" x14ac:dyDescent="0.3">
      <c r="A8" s="3" t="s">
        <v>871</v>
      </c>
      <c r="B8" s="4">
        <v>7.5</v>
      </c>
      <c r="G8" s="101" t="s">
        <v>181</v>
      </c>
      <c r="H8" s="103">
        <v>40</v>
      </c>
      <c r="I8" s="102">
        <v>2</v>
      </c>
      <c r="J8" s="104">
        <f t="shared" si="0"/>
        <v>80</v>
      </c>
    </row>
    <row r="9" spans="1:10" ht="14.4" customHeight="1" x14ac:dyDescent="0.3">
      <c r="A9" s="1" t="s">
        <v>7</v>
      </c>
      <c r="B9" s="6">
        <f>SUM(B3:B8)</f>
        <v>442</v>
      </c>
      <c r="C9" s="11"/>
      <c r="G9" s="8" t="s">
        <v>25</v>
      </c>
      <c r="H9" s="5">
        <v>400</v>
      </c>
      <c r="I9" s="9">
        <v>1</v>
      </c>
      <c r="J9" s="24">
        <f t="shared" ref="J9:J16" si="1">H9*I9</f>
        <v>400</v>
      </c>
    </row>
    <row r="10" spans="1:10" ht="14.4" customHeight="1" x14ac:dyDescent="0.3">
      <c r="G10" s="8" t="s">
        <v>26</v>
      </c>
      <c r="H10" s="5">
        <v>7</v>
      </c>
      <c r="I10" s="9">
        <v>20</v>
      </c>
      <c r="J10" s="24">
        <f t="shared" si="1"/>
        <v>140</v>
      </c>
    </row>
    <row r="11" spans="1:10" ht="14.4" customHeight="1" x14ac:dyDescent="0.3">
      <c r="A11" s="309" t="s">
        <v>15</v>
      </c>
      <c r="B11" s="309"/>
      <c r="C11" s="309"/>
      <c r="D11" s="309"/>
      <c r="E11" s="309"/>
      <c r="G11" s="8" t="s">
        <v>27</v>
      </c>
      <c r="H11" s="5">
        <v>5</v>
      </c>
      <c r="I11" s="9">
        <v>20</v>
      </c>
      <c r="J11" s="24">
        <f t="shared" si="1"/>
        <v>100</v>
      </c>
    </row>
    <row r="12" spans="1:10" ht="14.4" customHeight="1" x14ac:dyDescent="0.3">
      <c r="A12" s="1" t="s">
        <v>0</v>
      </c>
      <c r="B12" s="2" t="s">
        <v>9</v>
      </c>
      <c r="C12" s="2" t="s">
        <v>10</v>
      </c>
      <c r="D12" s="2" t="s">
        <v>11</v>
      </c>
      <c r="E12" s="2" t="s">
        <v>1</v>
      </c>
      <c r="G12" s="8" t="s">
        <v>28</v>
      </c>
      <c r="H12" s="5">
        <v>20</v>
      </c>
      <c r="I12" s="9">
        <v>1</v>
      </c>
      <c r="J12" s="24">
        <f t="shared" si="1"/>
        <v>20</v>
      </c>
    </row>
    <row r="13" spans="1:10" ht="14.4" customHeight="1" x14ac:dyDescent="0.3">
      <c r="A13" s="3" t="s">
        <v>16</v>
      </c>
      <c r="B13" s="5">
        <v>100</v>
      </c>
      <c r="C13" s="3">
        <v>2</v>
      </c>
      <c r="D13" s="3" t="s">
        <v>12</v>
      </c>
      <c r="E13" s="5">
        <f>C13*B13</f>
        <v>200</v>
      </c>
      <c r="G13" s="8" t="s">
        <v>29</v>
      </c>
      <c r="H13" s="5">
        <v>15</v>
      </c>
      <c r="I13" s="9">
        <v>2</v>
      </c>
      <c r="J13" s="24">
        <f t="shared" si="1"/>
        <v>30</v>
      </c>
    </row>
    <row r="14" spans="1:10" ht="15" customHeight="1" x14ac:dyDescent="0.3">
      <c r="A14" s="3" t="s">
        <v>13</v>
      </c>
      <c r="B14" s="5">
        <v>8</v>
      </c>
      <c r="C14" s="3">
        <v>10</v>
      </c>
      <c r="D14" s="3" t="s">
        <v>14</v>
      </c>
      <c r="E14" s="5">
        <f t="shared" ref="E14:E15" si="2">C14*B14</f>
        <v>80</v>
      </c>
      <c r="G14" s="8" t="s">
        <v>179</v>
      </c>
      <c r="H14" s="5">
        <v>30</v>
      </c>
      <c r="I14" s="9">
        <v>7</v>
      </c>
      <c r="J14" s="24">
        <f t="shared" si="1"/>
        <v>210</v>
      </c>
    </row>
    <row r="15" spans="1:10" x14ac:dyDescent="0.3">
      <c r="A15" s="3" t="s">
        <v>17</v>
      </c>
      <c r="B15" s="5">
        <v>300</v>
      </c>
      <c r="C15" s="3">
        <v>1</v>
      </c>
      <c r="D15" s="3" t="s">
        <v>12</v>
      </c>
      <c r="E15" s="5">
        <f t="shared" si="2"/>
        <v>300</v>
      </c>
      <c r="G15" s="8" t="s">
        <v>180</v>
      </c>
      <c r="H15" s="5">
        <v>10</v>
      </c>
      <c r="I15" s="9">
        <v>5</v>
      </c>
      <c r="J15" s="24">
        <f t="shared" si="1"/>
        <v>50</v>
      </c>
    </row>
    <row r="16" spans="1:10" x14ac:dyDescent="0.3">
      <c r="A16" s="1" t="s">
        <v>7</v>
      </c>
      <c r="B16" s="6"/>
      <c r="C16" s="1"/>
      <c r="D16" s="1"/>
      <c r="E16" s="6">
        <f>SUM(E13:E15)</f>
        <v>580</v>
      </c>
      <c r="G16" s="101" t="s">
        <v>182</v>
      </c>
      <c r="H16" s="103">
        <v>20</v>
      </c>
      <c r="I16" s="102">
        <v>2</v>
      </c>
      <c r="J16" s="104">
        <f t="shared" si="1"/>
        <v>40</v>
      </c>
    </row>
    <row r="17" spans="1:10" x14ac:dyDescent="0.3">
      <c r="G17" s="1" t="s">
        <v>7</v>
      </c>
      <c r="H17" s="1"/>
      <c r="I17" s="1"/>
      <c r="J17" s="10">
        <f>SUM(J3:J16)</f>
        <v>5570</v>
      </c>
    </row>
    <row r="18" spans="1:10" x14ac:dyDescent="0.3">
      <c r="A18" s="311" t="s">
        <v>63</v>
      </c>
      <c r="B18" s="312"/>
      <c r="C18" s="312"/>
      <c r="D18" s="312"/>
      <c r="E18" s="313"/>
    </row>
    <row r="19" spans="1:10" ht="14.4" customHeight="1" x14ac:dyDescent="0.3">
      <c r="A19" s="22" t="s">
        <v>0</v>
      </c>
      <c r="B19" s="23" t="s">
        <v>19</v>
      </c>
      <c r="C19" s="23" t="s">
        <v>10</v>
      </c>
      <c r="D19" s="23" t="s">
        <v>11</v>
      </c>
      <c r="E19" s="23" t="s">
        <v>1</v>
      </c>
    </row>
    <row r="20" spans="1:10" x14ac:dyDescent="0.3">
      <c r="A20" s="3" t="s">
        <v>64</v>
      </c>
      <c r="B20" s="25">
        <v>500</v>
      </c>
      <c r="C20" s="19">
        <v>50</v>
      </c>
      <c r="D20" s="19" t="s">
        <v>12</v>
      </c>
      <c r="E20" s="25">
        <f>B20*C20</f>
        <v>25000</v>
      </c>
    </row>
    <row r="21" spans="1:10" x14ac:dyDescent="0.3">
      <c r="A21" s="3" t="s">
        <v>65</v>
      </c>
      <c r="B21" s="25">
        <v>5000</v>
      </c>
      <c r="C21" s="19">
        <v>1</v>
      </c>
      <c r="D21" s="19" t="s">
        <v>66</v>
      </c>
      <c r="E21" s="25">
        <f>B21*C21</f>
        <v>5000</v>
      </c>
    </row>
    <row r="22" spans="1:10" x14ac:dyDescent="0.3">
      <c r="A22" s="20" t="s">
        <v>7</v>
      </c>
      <c r="B22" s="21"/>
      <c r="C22" s="21"/>
      <c r="D22" s="21"/>
      <c r="E22" s="36">
        <f>E20+E21</f>
        <v>30000</v>
      </c>
    </row>
    <row r="24" spans="1:10" x14ac:dyDescent="0.3">
      <c r="A24" s="311" t="s">
        <v>858</v>
      </c>
      <c r="B24" s="312"/>
      <c r="C24" s="312"/>
      <c r="D24" s="312"/>
      <c r="E24" s="313"/>
      <c r="G24" s="38" t="s">
        <v>89</v>
      </c>
      <c r="H24" s="39">
        <f>B9+E16+E22+J17+E29</f>
        <v>39472</v>
      </c>
    </row>
    <row r="25" spans="1:10" x14ac:dyDescent="0.3">
      <c r="A25" s="22" t="s">
        <v>0</v>
      </c>
      <c r="B25" s="23" t="s">
        <v>19</v>
      </c>
      <c r="C25" s="23" t="s">
        <v>10</v>
      </c>
      <c r="D25" s="23" t="s">
        <v>11</v>
      </c>
      <c r="E25" s="23" t="s">
        <v>1</v>
      </c>
    </row>
    <row r="26" spans="1:10" x14ac:dyDescent="0.3">
      <c r="A26" s="3" t="s">
        <v>857</v>
      </c>
      <c r="B26" s="25">
        <v>2500</v>
      </c>
      <c r="C26" s="19">
        <v>1</v>
      </c>
      <c r="D26" s="19" t="s">
        <v>66</v>
      </c>
      <c r="E26" s="25">
        <f>B26*C26</f>
        <v>2500</v>
      </c>
    </row>
    <row r="27" spans="1:10" x14ac:dyDescent="0.3">
      <c r="A27" s="3" t="s">
        <v>856</v>
      </c>
      <c r="B27" s="25">
        <v>280</v>
      </c>
      <c r="C27" s="19">
        <v>1</v>
      </c>
      <c r="D27" s="19" t="s">
        <v>66</v>
      </c>
      <c r="E27" s="25">
        <f>B27*C27</f>
        <v>280</v>
      </c>
    </row>
    <row r="28" spans="1:10" x14ac:dyDescent="0.3">
      <c r="A28" s="3" t="s">
        <v>123</v>
      </c>
      <c r="B28" s="25">
        <v>100</v>
      </c>
      <c r="C28" s="19">
        <v>1</v>
      </c>
      <c r="D28" s="19" t="s">
        <v>66</v>
      </c>
      <c r="E28" s="25">
        <f>B28*C28</f>
        <v>100</v>
      </c>
    </row>
    <row r="29" spans="1:10" x14ac:dyDescent="0.3">
      <c r="A29" s="20" t="s">
        <v>7</v>
      </c>
      <c r="B29" s="21"/>
      <c r="C29" s="21"/>
      <c r="D29" s="21"/>
      <c r="E29" s="36">
        <f>SUM(E26:E28)</f>
        <v>2880</v>
      </c>
    </row>
  </sheetData>
  <mergeCells count="5">
    <mergeCell ref="A1:B1"/>
    <mergeCell ref="A11:E11"/>
    <mergeCell ref="G1:J1"/>
    <mergeCell ref="A18:E18"/>
    <mergeCell ref="A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O32"/>
  <sheetViews>
    <sheetView zoomScale="80" zoomScaleNormal="80" workbookViewId="0">
      <selection activeCell="L5" sqref="L5"/>
    </sheetView>
  </sheetViews>
  <sheetFormatPr defaultRowHeight="14.4" x14ac:dyDescent="0.3"/>
  <cols>
    <col min="1" max="1" width="7.6640625" customWidth="1"/>
    <col min="2" max="2" width="30.33203125" customWidth="1"/>
    <col min="3" max="3" width="35.109375" customWidth="1"/>
    <col min="4" max="4" width="15.77734375" customWidth="1"/>
    <col min="5" max="6" width="12.44140625" customWidth="1"/>
    <col min="7" max="7" width="12.77734375" customWidth="1"/>
    <col min="8" max="8" width="13.44140625" customWidth="1"/>
    <col min="9" max="9" width="30.33203125" customWidth="1"/>
    <col min="10" max="10" width="12.88671875" customWidth="1"/>
    <col min="11" max="11" width="20.33203125" customWidth="1"/>
    <col min="12" max="12" width="14.21875" customWidth="1"/>
    <col min="13" max="13" width="12.88671875" customWidth="1"/>
    <col min="14" max="14" width="13.21875" customWidth="1"/>
    <col min="15" max="15" width="13.44140625" customWidth="1"/>
    <col min="16" max="16" width="12.6640625" customWidth="1"/>
  </cols>
  <sheetData>
    <row r="1" spans="1:15" x14ac:dyDescent="0.3">
      <c r="A1" s="314" t="s">
        <v>31</v>
      </c>
      <c r="B1" s="315"/>
      <c r="C1" s="315"/>
      <c r="D1" s="315"/>
      <c r="E1" s="315"/>
      <c r="F1" s="315"/>
      <c r="H1" s="314" t="s">
        <v>32</v>
      </c>
      <c r="I1" s="315"/>
      <c r="J1" s="315"/>
      <c r="K1" s="315"/>
      <c r="L1" s="315"/>
    </row>
    <row r="2" spans="1:15" x14ac:dyDescent="0.3">
      <c r="A2" s="316" t="s">
        <v>33</v>
      </c>
      <c r="B2" s="317"/>
      <c r="C2" s="12" t="s">
        <v>19</v>
      </c>
      <c r="D2" s="29" t="s">
        <v>34</v>
      </c>
      <c r="E2" s="12" t="s">
        <v>35</v>
      </c>
      <c r="F2" s="12" t="s">
        <v>870</v>
      </c>
      <c r="H2" s="316" t="s">
        <v>33</v>
      </c>
      <c r="I2" s="317"/>
      <c r="J2" s="12" t="s">
        <v>19</v>
      </c>
      <c r="K2" s="12" t="s">
        <v>36</v>
      </c>
      <c r="L2" s="12" t="s">
        <v>37</v>
      </c>
    </row>
    <row r="3" spans="1:15" x14ac:dyDescent="0.3">
      <c r="A3" s="326" t="s">
        <v>38</v>
      </c>
      <c r="B3" s="326"/>
      <c r="C3" s="34"/>
      <c r="D3" s="32"/>
      <c r="E3" s="15"/>
      <c r="F3" s="15"/>
      <c r="H3" s="323" t="s">
        <v>38</v>
      </c>
      <c r="I3" s="323"/>
      <c r="J3" s="44"/>
      <c r="K3" s="32"/>
      <c r="L3" s="15"/>
    </row>
    <row r="4" spans="1:15" x14ac:dyDescent="0.3">
      <c r="A4" s="37" t="s">
        <v>39</v>
      </c>
      <c r="B4" s="33" t="s">
        <v>40</v>
      </c>
      <c r="C4" s="269">
        <f>Inv!B9</f>
        <v>442</v>
      </c>
      <c r="D4" s="31">
        <f>C4</f>
        <v>442</v>
      </c>
      <c r="E4" s="15"/>
      <c r="F4" s="297">
        <f>C4/$C$11</f>
        <v>1.4637118673254475E-3</v>
      </c>
      <c r="H4" s="37" t="s">
        <v>39</v>
      </c>
      <c r="I4" s="33" t="s">
        <v>40</v>
      </c>
      <c r="J4" s="269">
        <f>C4</f>
        <v>442</v>
      </c>
      <c r="K4" s="42">
        <v>0</v>
      </c>
      <c r="L4" s="43">
        <f>J4*K4</f>
        <v>0</v>
      </c>
    </row>
    <row r="5" spans="1:15" x14ac:dyDescent="0.3">
      <c r="A5" s="37" t="s">
        <v>41</v>
      </c>
      <c r="B5" s="113" t="s">
        <v>860</v>
      </c>
      <c r="C5" s="269">
        <v>262500</v>
      </c>
      <c r="D5" s="31">
        <f>C5</f>
        <v>262500</v>
      </c>
      <c r="E5" s="15"/>
      <c r="F5" s="297">
        <f t="shared" ref="F5:F9" si="0">C5/$C$11</f>
        <v>0.86928589405640255</v>
      </c>
      <c r="H5" s="37" t="s">
        <v>41</v>
      </c>
      <c r="I5" s="113" t="s">
        <v>860</v>
      </c>
      <c r="J5" s="269">
        <f t="shared" ref="J5:J8" si="1">C5</f>
        <v>262500</v>
      </c>
      <c r="K5" s="42">
        <v>0.05</v>
      </c>
      <c r="L5" s="43">
        <f>J5*K5</f>
        <v>13125</v>
      </c>
    </row>
    <row r="6" spans="1:15" x14ac:dyDescent="0.3">
      <c r="A6" s="37">
        <v>3</v>
      </c>
      <c r="B6" s="33" t="s">
        <v>846</v>
      </c>
      <c r="C6" s="35">
        <f>Inv!E16</f>
        <v>580</v>
      </c>
      <c r="D6" s="31">
        <f>C6</f>
        <v>580</v>
      </c>
      <c r="E6" s="17"/>
      <c r="F6" s="297">
        <f t="shared" si="0"/>
        <v>1.9207078802008133E-3</v>
      </c>
      <c r="H6" s="37">
        <v>3</v>
      </c>
      <c r="I6" s="33" t="s">
        <v>846</v>
      </c>
      <c r="J6" s="269">
        <f t="shared" si="1"/>
        <v>580</v>
      </c>
      <c r="K6" s="42">
        <v>0</v>
      </c>
      <c r="L6" s="43">
        <v>0</v>
      </c>
    </row>
    <row r="7" spans="1:15" x14ac:dyDescent="0.3">
      <c r="A7" s="37">
        <v>4</v>
      </c>
      <c r="B7" s="33" t="s">
        <v>67</v>
      </c>
      <c r="C7" s="35">
        <f>Inv!E22</f>
        <v>30000</v>
      </c>
      <c r="D7" s="30"/>
      <c r="E7" s="17">
        <f>C7-D7</f>
        <v>30000</v>
      </c>
      <c r="F7" s="297">
        <f t="shared" si="0"/>
        <v>9.9346959320731718E-2</v>
      </c>
      <c r="H7" s="37">
        <v>4</v>
      </c>
      <c r="I7" s="33" t="s">
        <v>67</v>
      </c>
      <c r="J7" s="269">
        <f t="shared" si="1"/>
        <v>30000</v>
      </c>
      <c r="K7" s="42">
        <v>0.25</v>
      </c>
      <c r="L7" s="43">
        <f>J7*K7</f>
        <v>7500</v>
      </c>
    </row>
    <row r="8" spans="1:15" x14ac:dyDescent="0.3">
      <c r="A8" s="37">
        <v>5</v>
      </c>
      <c r="B8" s="33" t="s">
        <v>43</v>
      </c>
      <c r="C8" s="35">
        <f>Inv!J17</f>
        <v>5570</v>
      </c>
      <c r="D8" s="31"/>
      <c r="E8" s="17">
        <f>C8</f>
        <v>5570</v>
      </c>
      <c r="F8" s="297">
        <f t="shared" si="0"/>
        <v>1.8445418780549189E-2</v>
      </c>
      <c r="H8" s="37">
        <v>5</v>
      </c>
      <c r="I8" s="33" t="s">
        <v>43</v>
      </c>
      <c r="J8" s="269">
        <f t="shared" si="1"/>
        <v>5570</v>
      </c>
      <c r="K8" s="42">
        <v>0.25</v>
      </c>
      <c r="L8" s="43">
        <f>J8*K8</f>
        <v>1392.5</v>
      </c>
    </row>
    <row r="9" spans="1:15" x14ac:dyDescent="0.3">
      <c r="A9" s="37">
        <v>6</v>
      </c>
      <c r="B9" s="113" t="s">
        <v>859</v>
      </c>
      <c r="C9" s="35">
        <f>Inv!E29</f>
        <v>2880</v>
      </c>
      <c r="D9" s="31">
        <f>C9</f>
        <v>2880</v>
      </c>
      <c r="E9" s="17"/>
      <c r="F9" s="297">
        <f t="shared" si="0"/>
        <v>9.5373080947902446E-3</v>
      </c>
      <c r="H9" s="37">
        <v>6</v>
      </c>
      <c r="I9" s="113" t="s">
        <v>859</v>
      </c>
      <c r="J9" s="269">
        <f>C9</f>
        <v>2880</v>
      </c>
      <c r="K9" s="42">
        <v>0.2</v>
      </c>
      <c r="L9" s="43">
        <f>J9*K9</f>
        <v>576</v>
      </c>
    </row>
    <row r="10" spans="1:15" x14ac:dyDescent="0.3">
      <c r="A10" s="326" t="s">
        <v>44</v>
      </c>
      <c r="B10" s="326"/>
      <c r="C10" s="35">
        <v>0</v>
      </c>
      <c r="D10" s="31">
        <v>0</v>
      </c>
      <c r="E10" s="17"/>
      <c r="F10" s="17"/>
      <c r="H10" s="316" t="s">
        <v>45</v>
      </c>
      <c r="I10" s="318"/>
      <c r="J10" s="13">
        <f>SUM(J4:J7)</f>
        <v>293522</v>
      </c>
      <c r="K10" s="29"/>
      <c r="L10" s="41">
        <f>SUM(L4:L7)</f>
        <v>20625</v>
      </c>
    </row>
    <row r="11" spans="1:15" x14ac:dyDescent="0.3">
      <c r="A11" s="324" t="s">
        <v>46</v>
      </c>
      <c r="B11" s="325"/>
      <c r="C11" s="13">
        <f>SUM(C4:C10)</f>
        <v>301972</v>
      </c>
      <c r="D11" s="28">
        <f>SUM(D4:D10)</f>
        <v>266402</v>
      </c>
      <c r="E11" s="14">
        <f>SUM(E4:E10)</f>
        <v>35570</v>
      </c>
      <c r="F11" s="298">
        <f>SUM(F3:F10)</f>
        <v>0.99999999999999989</v>
      </c>
      <c r="G11" s="11"/>
    </row>
    <row r="14" spans="1:15" x14ac:dyDescent="0.3">
      <c r="A14" s="316" t="s">
        <v>47</v>
      </c>
      <c r="B14" s="317"/>
      <c r="C14" s="317"/>
      <c r="D14" s="317"/>
      <c r="E14" s="317"/>
      <c r="F14" s="317"/>
      <c r="G14" s="317"/>
      <c r="H14" s="317"/>
      <c r="I14" s="317"/>
      <c r="J14" s="317"/>
      <c r="K14" s="317"/>
      <c r="L14" s="317"/>
      <c r="M14" s="317"/>
      <c r="N14" s="317"/>
      <c r="O14" s="318"/>
    </row>
    <row r="15" spans="1:15" x14ac:dyDescent="0.3">
      <c r="A15" s="322" t="s">
        <v>48</v>
      </c>
      <c r="B15" s="322" t="s">
        <v>49</v>
      </c>
      <c r="C15" s="322" t="s">
        <v>50</v>
      </c>
      <c r="D15" s="327" t="s">
        <v>51</v>
      </c>
      <c r="E15" s="319" t="s">
        <v>52</v>
      </c>
      <c r="F15" s="320"/>
      <c r="G15" s="320"/>
      <c r="H15" s="320"/>
      <c r="I15" s="320"/>
      <c r="J15" s="320"/>
      <c r="K15" s="320"/>
      <c r="L15" s="320"/>
      <c r="M15" s="320"/>
      <c r="N15" s="321"/>
      <c r="O15" s="322" t="s">
        <v>53</v>
      </c>
    </row>
    <row r="16" spans="1:15" x14ac:dyDescent="0.3">
      <c r="A16" s="322"/>
      <c r="B16" s="322"/>
      <c r="C16" s="322"/>
      <c r="D16" s="327"/>
      <c r="E16" s="50">
        <v>1</v>
      </c>
      <c r="F16" s="50">
        <v>2</v>
      </c>
      <c r="G16" s="50">
        <v>3</v>
      </c>
      <c r="H16" s="50">
        <v>4</v>
      </c>
      <c r="I16" s="50">
        <v>5</v>
      </c>
      <c r="J16" s="50">
        <v>6</v>
      </c>
      <c r="K16" s="50">
        <v>7</v>
      </c>
      <c r="L16" s="50">
        <v>8</v>
      </c>
      <c r="M16" s="50">
        <v>9</v>
      </c>
      <c r="N16" s="50">
        <v>10</v>
      </c>
      <c r="O16" s="322"/>
    </row>
    <row r="17" spans="1:15" x14ac:dyDescent="0.3">
      <c r="A17" s="322"/>
      <c r="B17" s="322"/>
      <c r="C17" s="322"/>
      <c r="D17" s="327"/>
      <c r="E17" s="50">
        <v>2024</v>
      </c>
      <c r="F17" s="50">
        <v>2025</v>
      </c>
      <c r="G17" s="50">
        <v>2026</v>
      </c>
      <c r="H17" s="50">
        <v>2027</v>
      </c>
      <c r="I17" s="50">
        <v>2028</v>
      </c>
      <c r="J17" s="50">
        <v>2029</v>
      </c>
      <c r="K17" s="50">
        <v>2030</v>
      </c>
      <c r="L17" s="50">
        <v>2031</v>
      </c>
      <c r="M17" s="50">
        <v>2032</v>
      </c>
      <c r="N17" s="50">
        <v>2033</v>
      </c>
      <c r="O17" s="322"/>
    </row>
    <row r="18" spans="1:15" x14ac:dyDescent="0.3">
      <c r="A18" s="51" t="s">
        <v>54</v>
      </c>
      <c r="B18" s="52" t="s">
        <v>55</v>
      </c>
      <c r="C18" s="48"/>
      <c r="D18" s="1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 x14ac:dyDescent="0.3">
      <c r="A19" s="53" t="s">
        <v>39</v>
      </c>
      <c r="B19" s="123" t="s">
        <v>860</v>
      </c>
      <c r="C19" s="285">
        <f>J5</f>
        <v>262500</v>
      </c>
      <c r="D19" s="295">
        <v>0.05</v>
      </c>
      <c r="E19" s="124">
        <f>$C$19*$D$19</f>
        <v>13125</v>
      </c>
      <c r="F19" s="124">
        <f t="shared" ref="F19:N19" si="2">$C$19*$D$19</f>
        <v>13125</v>
      </c>
      <c r="G19" s="124">
        <f t="shared" si="2"/>
        <v>13125</v>
      </c>
      <c r="H19" s="124">
        <f t="shared" si="2"/>
        <v>13125</v>
      </c>
      <c r="I19" s="124">
        <f t="shared" si="2"/>
        <v>13125</v>
      </c>
      <c r="J19" s="124">
        <f t="shared" si="2"/>
        <v>13125</v>
      </c>
      <c r="K19" s="124">
        <f t="shared" si="2"/>
        <v>13125</v>
      </c>
      <c r="L19" s="124">
        <f t="shared" si="2"/>
        <v>13125</v>
      </c>
      <c r="M19" s="124">
        <f t="shared" si="2"/>
        <v>13125</v>
      </c>
      <c r="N19" s="124">
        <f t="shared" si="2"/>
        <v>13125</v>
      </c>
      <c r="O19" s="124">
        <f>C19-SUM(E19:N19)</f>
        <v>131250</v>
      </c>
    </row>
    <row r="20" spans="1:15" ht="13.8" customHeight="1" x14ac:dyDescent="0.3">
      <c r="A20" s="55">
        <v>2</v>
      </c>
      <c r="B20" s="54" t="s">
        <v>43</v>
      </c>
      <c r="C20" s="285">
        <f>J8</f>
        <v>5570</v>
      </c>
      <c r="D20" s="295">
        <v>0.25</v>
      </c>
      <c r="E20" s="286">
        <f>$C$20*$D$20</f>
        <v>1392.5</v>
      </c>
      <c r="F20" s="286">
        <f t="shared" ref="F20:H20" si="3">$C$20*$D$20</f>
        <v>1392.5</v>
      </c>
      <c r="G20" s="286">
        <f t="shared" si="3"/>
        <v>1392.5</v>
      </c>
      <c r="H20" s="286">
        <f t="shared" si="3"/>
        <v>1392.5</v>
      </c>
      <c r="I20" s="124">
        <v>0</v>
      </c>
      <c r="J20" s="124">
        <v>0</v>
      </c>
      <c r="K20" s="124">
        <v>0</v>
      </c>
      <c r="L20" s="124">
        <v>0</v>
      </c>
      <c r="M20" s="124">
        <v>0</v>
      </c>
      <c r="N20" s="124">
        <v>0</v>
      </c>
      <c r="O20" s="124">
        <f>C20-SUM(E20:N20)</f>
        <v>0</v>
      </c>
    </row>
    <row r="21" spans="1:15" x14ac:dyDescent="0.3">
      <c r="A21" s="55">
        <v>3</v>
      </c>
      <c r="B21" s="54" t="s">
        <v>67</v>
      </c>
      <c r="C21" s="285">
        <f>J7</f>
        <v>30000</v>
      </c>
      <c r="D21" s="295">
        <v>0.25</v>
      </c>
      <c r="E21" s="286">
        <f>$C$21*$D$21</f>
        <v>7500</v>
      </c>
      <c r="F21" s="286">
        <f t="shared" ref="F21:H21" si="4">$C$21*$D$21</f>
        <v>7500</v>
      </c>
      <c r="G21" s="286">
        <f t="shared" si="4"/>
        <v>7500</v>
      </c>
      <c r="H21" s="286">
        <f t="shared" si="4"/>
        <v>7500</v>
      </c>
      <c r="I21" s="124">
        <v>0</v>
      </c>
      <c r="J21" s="124">
        <v>0</v>
      </c>
      <c r="K21" s="124">
        <v>0</v>
      </c>
      <c r="L21" s="124">
        <v>0</v>
      </c>
      <c r="M21" s="124">
        <v>0</v>
      </c>
      <c r="N21" s="124">
        <v>0</v>
      </c>
      <c r="O21" s="124">
        <f>C21-SUM(E21:N21)</f>
        <v>0</v>
      </c>
    </row>
    <row r="22" spans="1:15" x14ac:dyDescent="0.3">
      <c r="A22" s="55">
        <v>4</v>
      </c>
      <c r="B22" s="270" t="s">
        <v>859</v>
      </c>
      <c r="C22" s="285">
        <f>J9</f>
        <v>2880</v>
      </c>
      <c r="D22" s="295">
        <v>0.2</v>
      </c>
      <c r="E22" s="286">
        <f>$C$22*$D$22</f>
        <v>576</v>
      </c>
      <c r="F22" s="286">
        <f t="shared" ref="F22:I22" si="5">$C$22*$D$22</f>
        <v>576</v>
      </c>
      <c r="G22" s="286">
        <f t="shared" si="5"/>
        <v>576</v>
      </c>
      <c r="H22" s="286">
        <f t="shared" si="5"/>
        <v>576</v>
      </c>
      <c r="I22" s="286">
        <f t="shared" si="5"/>
        <v>576</v>
      </c>
      <c r="J22" s="286">
        <v>0</v>
      </c>
      <c r="K22" s="124">
        <v>0</v>
      </c>
      <c r="L22" s="124">
        <v>0</v>
      </c>
      <c r="M22" s="124">
        <v>0</v>
      </c>
      <c r="N22" s="124">
        <v>0</v>
      </c>
      <c r="O22" s="124">
        <f>C22-SUM(E22:N22)</f>
        <v>0</v>
      </c>
    </row>
    <row r="23" spans="1:15" x14ac:dyDescent="0.3">
      <c r="A23" s="51" t="s">
        <v>56</v>
      </c>
      <c r="B23" s="52" t="s">
        <v>57</v>
      </c>
      <c r="C23" s="285">
        <f>SUM(C19:C22)</f>
        <v>300950</v>
      </c>
      <c r="D23" s="285"/>
      <c r="E23" s="285">
        <f>SUM(E19:E22)</f>
        <v>22593.5</v>
      </c>
      <c r="F23" s="285">
        <f t="shared" ref="F23:N23" si="6">SUM(F19:F22)</f>
        <v>22593.5</v>
      </c>
      <c r="G23" s="285">
        <f t="shared" si="6"/>
        <v>22593.5</v>
      </c>
      <c r="H23" s="285">
        <f t="shared" si="6"/>
        <v>22593.5</v>
      </c>
      <c r="I23" s="285">
        <f t="shared" si="6"/>
        <v>13701</v>
      </c>
      <c r="J23" s="285">
        <f t="shared" si="6"/>
        <v>13125</v>
      </c>
      <c r="K23" s="285">
        <f t="shared" si="6"/>
        <v>13125</v>
      </c>
      <c r="L23" s="285">
        <f t="shared" si="6"/>
        <v>13125</v>
      </c>
      <c r="M23" s="285">
        <f t="shared" si="6"/>
        <v>13125</v>
      </c>
      <c r="N23" s="285">
        <f t="shared" si="6"/>
        <v>13125</v>
      </c>
      <c r="O23" s="285">
        <f>SUM(O19:O22)</f>
        <v>131250</v>
      </c>
    </row>
    <row r="24" spans="1:15" x14ac:dyDescent="0.3">
      <c r="A24" s="51" t="s">
        <v>58</v>
      </c>
      <c r="B24" s="52" t="s">
        <v>59</v>
      </c>
      <c r="C24" s="285"/>
      <c r="D24" s="155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</row>
    <row r="25" spans="1:15" x14ac:dyDescent="0.3">
      <c r="A25" s="53" t="s">
        <v>39</v>
      </c>
      <c r="B25" s="54" t="s">
        <v>60</v>
      </c>
      <c r="C25" s="285">
        <f>C23</f>
        <v>300950</v>
      </c>
      <c r="D25" s="155"/>
      <c r="E25" s="286">
        <f>C25-E23</f>
        <v>278356.5</v>
      </c>
      <c r="F25" s="286">
        <f>E25-F23</f>
        <v>255763</v>
      </c>
      <c r="G25" s="286">
        <f t="shared" ref="G25:N25" si="7">F25-G23</f>
        <v>233169.5</v>
      </c>
      <c r="H25" s="286">
        <f t="shared" si="7"/>
        <v>210576</v>
      </c>
      <c r="I25" s="286">
        <f t="shared" si="7"/>
        <v>196875</v>
      </c>
      <c r="J25" s="286">
        <f t="shared" si="7"/>
        <v>183750</v>
      </c>
      <c r="K25" s="286">
        <f t="shared" si="7"/>
        <v>170625</v>
      </c>
      <c r="L25" s="286">
        <f t="shared" si="7"/>
        <v>157500</v>
      </c>
      <c r="M25" s="286">
        <f t="shared" si="7"/>
        <v>144375</v>
      </c>
      <c r="N25" s="286">
        <f t="shared" si="7"/>
        <v>131250</v>
      </c>
      <c r="O25" s="124">
        <f>N25</f>
        <v>131250</v>
      </c>
    </row>
    <row r="26" spans="1:15" x14ac:dyDescent="0.3">
      <c r="A26" s="53" t="s">
        <v>41</v>
      </c>
      <c r="B26" s="54" t="s">
        <v>61</v>
      </c>
      <c r="C26" s="287"/>
      <c r="D26" s="155"/>
      <c r="E26" s="124">
        <f>TOBS!D27</f>
        <v>-4487.7279839313906</v>
      </c>
      <c r="F26" s="124">
        <f>TOBS!E27</f>
        <v>-4358.999257139847</v>
      </c>
      <c r="G26" s="124">
        <f>TOBS!F27</f>
        <v>-4228.3754372623043</v>
      </c>
      <c r="H26" s="124">
        <f>TOBS!G27</f>
        <v>-4089.8247575144942</v>
      </c>
      <c r="I26" s="124">
        <f>TOBS!H27</f>
        <v>-4071.4826717714677</v>
      </c>
      <c r="J26" s="124">
        <f>TOBS!I27</f>
        <v>-4028.815351484267</v>
      </c>
      <c r="K26" s="124">
        <f>TOBS!J27</f>
        <v>-4023.0157253774705</v>
      </c>
      <c r="L26" s="124">
        <f>TOBS!K27</f>
        <v>-4018.3512509242028</v>
      </c>
      <c r="M26" s="124">
        <f>TOBS!L27</f>
        <v>-4014.8809220633229</v>
      </c>
      <c r="N26" s="124">
        <f>TOBS!M27</f>
        <v>-4012.6655304029009</v>
      </c>
      <c r="O26" s="124">
        <f>N26</f>
        <v>-4012.6655304029009</v>
      </c>
    </row>
    <row r="27" spans="1:15" x14ac:dyDescent="0.3">
      <c r="A27" s="46" t="s">
        <v>42</v>
      </c>
      <c r="B27" s="47" t="s">
        <v>62</v>
      </c>
      <c r="C27" s="288">
        <f>C25+C26</f>
        <v>300950</v>
      </c>
      <c r="D27" s="289"/>
      <c r="E27" s="290">
        <f>E25+E26</f>
        <v>273868.77201606863</v>
      </c>
      <c r="F27" s="290">
        <f t="shared" ref="F27:N27" si="8">F25+F26</f>
        <v>251404.00074286014</v>
      </c>
      <c r="G27" s="290">
        <f t="shared" si="8"/>
        <v>228941.12456273771</v>
      </c>
      <c r="H27" s="290">
        <f t="shared" si="8"/>
        <v>206486.17524248551</v>
      </c>
      <c r="I27" s="290">
        <f t="shared" si="8"/>
        <v>192803.51732822854</v>
      </c>
      <c r="J27" s="290">
        <f t="shared" si="8"/>
        <v>179721.18464851574</v>
      </c>
      <c r="K27" s="290">
        <f t="shared" si="8"/>
        <v>166601.98427462252</v>
      </c>
      <c r="L27" s="290">
        <f t="shared" si="8"/>
        <v>153481.6487490758</v>
      </c>
      <c r="M27" s="290">
        <f t="shared" si="8"/>
        <v>140360.11907793669</v>
      </c>
      <c r="N27" s="290">
        <f t="shared" si="8"/>
        <v>127237.3344695971</v>
      </c>
      <c r="O27" s="290">
        <f t="shared" ref="O27" si="9">O25+O26</f>
        <v>127237.3344695971</v>
      </c>
    </row>
    <row r="28" spans="1:15" x14ac:dyDescent="0.3">
      <c r="J28" s="118"/>
      <c r="K28" s="118"/>
    </row>
    <row r="29" spans="1:15" x14ac:dyDescent="0.3">
      <c r="F29" s="296"/>
      <c r="K29" s="118"/>
    </row>
    <row r="30" spans="1:15" x14ac:dyDescent="0.3">
      <c r="F30" s="296"/>
      <c r="K30" s="296"/>
      <c r="O30" s="296"/>
    </row>
    <row r="31" spans="1:15" x14ac:dyDescent="0.3">
      <c r="F31" s="296"/>
      <c r="K31" s="296"/>
    </row>
    <row r="32" spans="1:15" x14ac:dyDescent="0.3">
      <c r="K32" s="296"/>
    </row>
  </sheetData>
  <mergeCells count="16">
    <mergeCell ref="A1:F1"/>
    <mergeCell ref="A14:O14"/>
    <mergeCell ref="E15:N15"/>
    <mergeCell ref="O15:O17"/>
    <mergeCell ref="H1:L1"/>
    <mergeCell ref="H10:I10"/>
    <mergeCell ref="H3:I3"/>
    <mergeCell ref="A11:B11"/>
    <mergeCell ref="H2:I2"/>
    <mergeCell ref="A10:B10"/>
    <mergeCell ref="A2:B2"/>
    <mergeCell ref="A3:B3"/>
    <mergeCell ref="C15:C17"/>
    <mergeCell ref="D15:D17"/>
    <mergeCell ref="A15:A17"/>
    <mergeCell ref="B15:B17"/>
  </mergeCells>
  <pageMargins left="0.7" right="0.7" top="0.75" bottom="0.75" header="0.3" footer="0.3"/>
  <pageSetup orientation="portrait" horizontalDpi="300" verticalDpi="300" r:id="rId1"/>
  <ignoredErrors>
    <ignoredError sqref="A25:A26 A4:A5 H4:H5" numberStoredAsText="1"/>
    <ignoredError sqref="C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46"/>
  <sheetViews>
    <sheetView zoomScale="104" zoomScaleNormal="63" workbookViewId="0"/>
  </sheetViews>
  <sheetFormatPr defaultRowHeight="14.4" x14ac:dyDescent="0.3"/>
  <cols>
    <col min="1" max="1" width="7" customWidth="1"/>
    <col min="2" max="2" width="30.21875" style="112" customWidth="1"/>
    <col min="3" max="3" width="18.5546875" customWidth="1"/>
    <col min="4" max="4" width="17.109375" customWidth="1"/>
    <col min="5" max="5" width="17.109375" style="109" customWidth="1"/>
    <col min="6" max="6" width="24.77734375" customWidth="1"/>
    <col min="7" max="7" width="20.88671875" customWidth="1"/>
    <col min="10" max="10" width="30.109375" customWidth="1"/>
  </cols>
  <sheetData>
    <row r="1" spans="1:7" x14ac:dyDescent="0.3">
      <c r="A1" s="40" t="s">
        <v>68</v>
      </c>
      <c r="B1" s="67" t="s">
        <v>177</v>
      </c>
      <c r="C1" s="12" t="s">
        <v>70</v>
      </c>
      <c r="D1" s="12" t="s">
        <v>9</v>
      </c>
      <c r="E1" s="116" t="s">
        <v>10</v>
      </c>
      <c r="F1" s="12" t="s">
        <v>178</v>
      </c>
      <c r="G1" s="12" t="s">
        <v>118</v>
      </c>
    </row>
    <row r="2" spans="1:7" x14ac:dyDescent="0.3">
      <c r="A2" s="57">
        <v>1</v>
      </c>
      <c r="B2" s="113" t="s">
        <v>260</v>
      </c>
      <c r="C2" s="114" t="s">
        <v>255</v>
      </c>
      <c r="D2" s="157">
        <f>SUMIF('namirnice i izračun za torte'!A:A,B:B,'namirnice i izračun za torte'!J:J)</f>
        <v>1.2782297029905463</v>
      </c>
      <c r="E2" s="117">
        <f>F2/D2</f>
        <v>10.75</v>
      </c>
      <c r="F2" s="157">
        <f>SUMIF('namirnice i izračun za torte'!A:A,B:B,'namirnice i izračun za torte'!AE:AE)+SUMIF('namirnice i izračun za suhe kol'!A:A,Namirnice!B:B,'namirnice i izračun za suhe kol'!AB:AB)</f>
        <v>13.740969307148372</v>
      </c>
      <c r="G2" s="157">
        <f>F2*12</f>
        <v>164.89163168578045</v>
      </c>
    </row>
    <row r="3" spans="1:7" x14ac:dyDescent="0.3">
      <c r="A3" s="57">
        <v>2</v>
      </c>
      <c r="B3" s="113" t="s">
        <v>261</v>
      </c>
      <c r="C3" s="114" t="s">
        <v>255</v>
      </c>
      <c r="D3" s="157">
        <f>SUMIF('namirnice i izračun za torte'!A:A,B:B,'namirnice i izračun za torte'!J:J)</f>
        <v>12.271005148709245</v>
      </c>
      <c r="E3" s="117">
        <f t="shared" ref="E3:E39" si="0">F3/D3</f>
        <v>18.893999999999998</v>
      </c>
      <c r="F3" s="157">
        <f>SUMIF('namirnice i izračun za torte'!A:A,B:B,'namirnice i izračun za torte'!AE:AE)+SUMIF('namirnice i izračun za suhe kol'!A:A,Namirnice!B:B,'namirnice i izračun za suhe kol'!AB:AB)</f>
        <v>231.84837127971247</v>
      </c>
      <c r="G3" s="157">
        <f t="shared" ref="G3:G40" si="1">F3*12</f>
        <v>2782.1804553565498</v>
      </c>
    </row>
    <row r="4" spans="1:7" x14ac:dyDescent="0.3">
      <c r="A4" s="57">
        <v>3</v>
      </c>
      <c r="B4" s="113" t="s">
        <v>262</v>
      </c>
      <c r="C4" s="114" t="s">
        <v>258</v>
      </c>
      <c r="D4" s="157">
        <f>SUMIF('namirnice i izračun za torte'!A:A,B:B,'namirnice i izračun za torte'!J:J)</f>
        <v>0.20451675247848741</v>
      </c>
      <c r="E4" s="117">
        <f>F4/D4</f>
        <v>1600.16</v>
      </c>
      <c r="F4" s="157">
        <f>SUMIF('namirnice i izračun za torte'!A:A,B:B,'namirnice i izračun za torte'!AE:AE)+SUMIF('namirnice i izračun za suhe kol'!A:A,Namirnice!B:B,'namirnice i izračun za suhe kol'!AB:AB)</f>
        <v>327.25952664597645</v>
      </c>
      <c r="G4" s="157">
        <f t="shared" si="1"/>
        <v>3927.1143197517176</v>
      </c>
    </row>
    <row r="5" spans="1:7" x14ac:dyDescent="0.3">
      <c r="A5" s="57">
        <v>4</v>
      </c>
      <c r="B5" s="33" t="s">
        <v>215</v>
      </c>
      <c r="C5" s="114" t="s">
        <v>258</v>
      </c>
      <c r="D5" s="157">
        <f>SUMIF('namirnice i izračun za torte'!A:A,B:B,'namirnice i izračun za torte'!J:J)</f>
        <v>0.10225837623924371</v>
      </c>
      <c r="E5" s="117">
        <f t="shared" si="0"/>
        <v>349.15999999999997</v>
      </c>
      <c r="F5" s="157">
        <f>SUMIF('namirnice i izračun za torte'!A:A,B:B,'namirnice i izračun za torte'!AE:AE)+SUMIF('namirnice i izračun za suhe kol'!A:A,Namirnice!B:B,'namirnice i izračun za suhe kol'!AB:AB)</f>
        <v>35.704534647694331</v>
      </c>
      <c r="G5" s="157">
        <f t="shared" si="1"/>
        <v>428.45441577233197</v>
      </c>
    </row>
    <row r="6" spans="1:7" x14ac:dyDescent="0.3">
      <c r="A6" s="57">
        <v>5</v>
      </c>
      <c r="B6" s="113" t="s">
        <v>875</v>
      </c>
      <c r="C6" s="114" t="s">
        <v>255</v>
      </c>
      <c r="D6" s="157">
        <f>SUMIF('namirnice i izračun za torte'!A:A,B:B,'namirnice i izračun za torte'!J:J)</f>
        <v>6.1355025743546223</v>
      </c>
      <c r="E6" s="117">
        <f t="shared" si="0"/>
        <v>3.024</v>
      </c>
      <c r="F6" s="157">
        <f>SUMIF('namirnice i izračun za torte'!A:A,B:B,'namirnice i izračun za torte'!AE:AE)+SUMIF('namirnice i izračun za suhe kol'!A:A,Namirnice!B:B,'namirnice i izračun za suhe kol'!AB:AB)</f>
        <v>18.553759784848378</v>
      </c>
      <c r="G6" s="157">
        <f t="shared" si="1"/>
        <v>222.64511741818052</v>
      </c>
    </row>
    <row r="7" spans="1:7" x14ac:dyDescent="0.3">
      <c r="A7" s="57">
        <v>6</v>
      </c>
      <c r="B7" s="113" t="s">
        <v>263</v>
      </c>
      <c r="C7" s="114" t="s">
        <v>255</v>
      </c>
      <c r="D7" s="157">
        <f>SUMIF('namirnice i izračun za torte'!A:A,B:B,'namirnice i izračun za torte'!J:J)</f>
        <v>7.1580863367470586</v>
      </c>
      <c r="E7" s="117">
        <f>F7/D7</f>
        <v>19.212</v>
      </c>
      <c r="F7" s="157">
        <f>SUMIF('namirnice i izračun za torte'!A:A,B:B,'namirnice i izračun za torte'!AE:AE)+SUMIF('namirnice i izračun za suhe kol'!A:A,Namirnice!B:B,'namirnice i izračun za suhe kol'!AB:AB)</f>
        <v>137.52115470158449</v>
      </c>
      <c r="G7" s="157">
        <f t="shared" si="1"/>
        <v>1650.253856419014</v>
      </c>
    </row>
    <row r="8" spans="1:7" x14ac:dyDescent="0.3">
      <c r="A8" s="57">
        <v>7</v>
      </c>
      <c r="B8" s="113" t="s">
        <v>264</v>
      </c>
      <c r="C8" s="114" t="s">
        <v>255</v>
      </c>
      <c r="D8" s="157">
        <f>SUMIF('namirnice i izračun za torte'!A:A,B:B,'namirnice i izračun za torte'!J:J)</f>
        <v>2.5564594059810926</v>
      </c>
      <c r="E8" s="117">
        <f t="shared" si="0"/>
        <v>0.84</v>
      </c>
      <c r="F8" s="157">
        <f>SUMIF('namirnice i izračun za torte'!A:A,B:B,'namirnice i izračun za torte'!AE:AE)+SUMIF('namirnice i izračun za suhe kol'!A:A,Namirnice!B:B,'namirnice i izračun za suhe kol'!AB:AB)</f>
        <v>2.1474259010241177</v>
      </c>
      <c r="G8" s="157">
        <f t="shared" si="1"/>
        <v>25.769110812289412</v>
      </c>
    </row>
    <row r="9" spans="1:7" x14ac:dyDescent="0.3">
      <c r="A9" s="57">
        <v>8</v>
      </c>
      <c r="B9" s="113" t="s">
        <v>176</v>
      </c>
      <c r="C9" s="114" t="s">
        <v>256</v>
      </c>
      <c r="D9" s="157">
        <f>SUMIF('namirnice i izračun za torte'!A:A,B:B,'namirnice i izračun za torte'!J:J)</f>
        <v>1.2782297029905463</v>
      </c>
      <c r="E9" s="117">
        <f t="shared" si="0"/>
        <v>181.916</v>
      </c>
      <c r="F9" s="157">
        <f>SUMIF('namirnice i izračun za torte'!A:A,B:B,'namirnice i izračun za torte'!AE:AE)+SUMIF('namirnice i izračun za suhe kol'!A:A,Namirnice!B:B,'namirnice i izračun za suhe kol'!AB:AB)</f>
        <v>232.53043464922823</v>
      </c>
      <c r="G9" s="157">
        <f t="shared" si="1"/>
        <v>2790.3652157907386</v>
      </c>
    </row>
    <row r="10" spans="1:7" x14ac:dyDescent="0.3">
      <c r="A10" s="57">
        <v>9</v>
      </c>
      <c r="B10" s="113" t="s">
        <v>265</v>
      </c>
      <c r="C10" s="114" t="s">
        <v>255</v>
      </c>
      <c r="D10" s="157">
        <f>SUMIF('namirnice i izračun za torte'!A:A,B:B,'namirnice i izračun za torte'!J:J)</f>
        <v>6.4763638284854341</v>
      </c>
      <c r="E10" s="117">
        <f>F10/D10</f>
        <v>47.807599999999994</v>
      </c>
      <c r="F10" s="157">
        <f>SUMIF('namirnice i izračun za torte'!A:A,B:B,'namirnice i izračun za torte'!AE:AE)+SUMIF('namirnice i izračun za suhe kol'!A:A,Namirnice!B:B,'namirnice i izračun za suhe kol'!AB:AB)</f>
        <v>309.61941136670021</v>
      </c>
      <c r="G10" s="157">
        <f t="shared" si="1"/>
        <v>3715.4329364004025</v>
      </c>
    </row>
    <row r="11" spans="1:7" x14ac:dyDescent="0.3">
      <c r="A11" s="57">
        <v>10</v>
      </c>
      <c r="B11" s="113" t="s">
        <v>851</v>
      </c>
      <c r="C11" s="114" t="s">
        <v>258</v>
      </c>
      <c r="D11" s="157">
        <f>SUMIF('namirnice i izračun za torte'!A:A,B:B,'namirnice i izračun za torte'!J:J)</f>
        <v>0.31955742574763657</v>
      </c>
      <c r="E11" s="117">
        <f t="shared" si="0"/>
        <v>555.80000000000007</v>
      </c>
      <c r="F11" s="157">
        <f>SUMIF('namirnice i izračun za torte'!A:A,B:B,'namirnice i izračun za torte'!AE:AE)+SUMIF('namirnice i izračun za suhe kol'!A:A,Namirnice!B:B,'namirnice i izračun za suhe kol'!AB:AB)</f>
        <v>177.61001723053641</v>
      </c>
      <c r="G11" s="157">
        <f t="shared" si="1"/>
        <v>2131.320206766437</v>
      </c>
    </row>
    <row r="12" spans="1:7" x14ac:dyDescent="0.3">
      <c r="A12" s="57">
        <v>11</v>
      </c>
      <c r="B12" s="113" t="s">
        <v>266</v>
      </c>
      <c r="C12" s="114" t="s">
        <v>255</v>
      </c>
      <c r="D12" s="157">
        <f>SUMIF('namirnice i izračun za torte'!A:A,B:B,'namirnice i izračun za torte'!J:J)</f>
        <v>1.2782297029905463</v>
      </c>
      <c r="E12" s="117">
        <f t="shared" si="0"/>
        <v>62.7</v>
      </c>
      <c r="F12" s="157">
        <f>SUMIF('namirnice i izračun za torte'!A:A,B:B,'namirnice i izračun za torte'!AE:AE)+SUMIF('namirnice i izračun za suhe kol'!A:A,Namirnice!B:B,'namirnice i izračun za suhe kol'!AB:AB)</f>
        <v>80.145002377507254</v>
      </c>
      <c r="G12" s="157">
        <f t="shared" si="1"/>
        <v>961.7400285300871</v>
      </c>
    </row>
    <row r="13" spans="1:7" x14ac:dyDescent="0.3">
      <c r="A13" s="57">
        <v>12</v>
      </c>
      <c r="B13" s="113" t="s">
        <v>267</v>
      </c>
      <c r="C13" s="114" t="s">
        <v>256</v>
      </c>
      <c r="D13" s="157">
        <f>SUMIF('namirnice i izračun za torte'!A:A,B:B,'namirnice i izračun za torte'!J:J)</f>
        <v>3.3233972277754202</v>
      </c>
      <c r="E13" s="117">
        <f t="shared" si="0"/>
        <v>83.00800000000001</v>
      </c>
      <c r="F13" s="157">
        <f>SUMIF('namirnice i izračun za torte'!A:A,B:B,'namirnice i izračun za torte'!AE:AE)+SUMIF('namirnice i izračun za suhe kol'!A:A,Namirnice!B:B,'namirnice i izračun za suhe kol'!AB:AB)</f>
        <v>275.86855708318211</v>
      </c>
      <c r="G13" s="157">
        <f t="shared" si="1"/>
        <v>3310.4226849981851</v>
      </c>
    </row>
    <row r="14" spans="1:7" x14ac:dyDescent="0.3">
      <c r="A14" s="57">
        <v>13</v>
      </c>
      <c r="B14" s="113" t="s">
        <v>268</v>
      </c>
      <c r="C14" s="114" t="s">
        <v>259</v>
      </c>
      <c r="D14" s="157">
        <f>SUMIF('namirnice i izračun za torte'!A:A,B:B,'namirnice i izračun za torte'!J:J)</f>
        <v>0.76693782179432779</v>
      </c>
      <c r="E14" s="117">
        <f t="shared" si="0"/>
        <v>81</v>
      </c>
      <c r="F14" s="157">
        <f>SUMIF('namirnice i izračun za torte'!A:A,B:B,'namirnice i izračun za torte'!AE:AE)+SUMIF('namirnice i izračun za suhe kol'!A:A,Namirnice!B:B,'namirnice i izračun za suhe kol'!AB:AB)</f>
        <v>62.12196356534055</v>
      </c>
      <c r="G14" s="157">
        <f t="shared" si="1"/>
        <v>745.46356278408666</v>
      </c>
    </row>
    <row r="15" spans="1:7" x14ac:dyDescent="0.3">
      <c r="A15" s="57">
        <v>14</v>
      </c>
      <c r="B15" s="113" t="s">
        <v>269</v>
      </c>
      <c r="C15" s="114" t="s">
        <v>255</v>
      </c>
      <c r="D15" s="157">
        <f>SUMIF('namirnice i izračun za torte'!A:A,B:B,'namirnice i izračun za torte'!J:J)</f>
        <v>9.2032538615319321</v>
      </c>
      <c r="E15" s="117">
        <f t="shared" si="0"/>
        <v>5.8800000000000017</v>
      </c>
      <c r="F15" s="157">
        <f>SUMIF('namirnice i izračun za torte'!A:A,B:B,'namirnice i izračun za torte'!AE:AE)+SUMIF('namirnice i izračun za suhe kol'!A:A,Namirnice!B:B,'namirnice i izračun za suhe kol'!AB:AB)</f>
        <v>54.115132705807774</v>
      </c>
      <c r="G15" s="157">
        <f t="shared" si="1"/>
        <v>649.38159246969326</v>
      </c>
    </row>
    <row r="16" spans="1:7" x14ac:dyDescent="0.3">
      <c r="A16" s="57">
        <v>15</v>
      </c>
      <c r="B16" s="113" t="s">
        <v>881</v>
      </c>
      <c r="C16" s="114" t="s">
        <v>258</v>
      </c>
      <c r="D16" s="157">
        <f>SUMIF('namirnice i izračun za torte'!A:A,B:B,'namirnice i izračun za torte'!J:J)</f>
        <v>7.6693782179432776E-2</v>
      </c>
      <c r="E16" s="117">
        <f t="shared" si="0"/>
        <v>349.59999999999997</v>
      </c>
      <c r="F16" s="157">
        <f>SUMIF('namirnice i izračun za torte'!A:A,B:B,'namirnice i izračun za torte'!AE:AE)+SUMIF('namirnice i izračun za suhe kol'!A:A,Namirnice!B:B,'namirnice i izračun za suhe kol'!AB:AB)</f>
        <v>26.812146249929697</v>
      </c>
      <c r="G16" s="157">
        <f t="shared" si="1"/>
        <v>321.74575499915636</v>
      </c>
    </row>
    <row r="17" spans="1:7" x14ac:dyDescent="0.3">
      <c r="A17" s="57">
        <v>16</v>
      </c>
      <c r="B17" s="113" t="s">
        <v>270</v>
      </c>
      <c r="C17" s="114" t="s">
        <v>258</v>
      </c>
      <c r="D17" s="157">
        <f>SUMIF('namirnice i izračun za torte'!A:A,B:B,'namirnice i izračun za torte'!J:J)</f>
        <v>0.10225837623924371</v>
      </c>
      <c r="E17" s="117">
        <f t="shared" si="0"/>
        <v>100.8</v>
      </c>
      <c r="F17" s="157">
        <f>SUMIF('namirnice i izračun za torte'!A:A,B:B,'namirnice i izračun za torte'!AE:AE)+SUMIF('namirnice i izračun za suhe kol'!A:A,Namirnice!B:B,'namirnice i izračun za suhe kol'!AB:AB)</f>
        <v>10.307644324915765</v>
      </c>
      <c r="G17" s="157">
        <f t="shared" si="1"/>
        <v>123.69173189898919</v>
      </c>
    </row>
    <row r="18" spans="1:7" x14ac:dyDescent="0.3">
      <c r="A18" s="57">
        <v>17</v>
      </c>
      <c r="B18" s="113" t="s">
        <v>271</v>
      </c>
      <c r="C18" s="114" t="s">
        <v>258</v>
      </c>
      <c r="D18" s="157">
        <f>SUMIF('namirnice i izračun za torte'!A:A,B:B,'namirnice i izračun za torte'!J:J)</f>
        <v>1.2782297029905463</v>
      </c>
      <c r="E18" s="117">
        <f t="shared" si="0"/>
        <v>10.08</v>
      </c>
      <c r="F18" s="157">
        <f>SUMIF('namirnice i izračun za torte'!A:A,B:B,'namirnice i izračun za torte'!AE:AE)+SUMIF('namirnice i izračun za suhe kol'!A:A,Namirnice!B:B,'namirnice i izračun za suhe kol'!AB:AB)</f>
        <v>12.884555406144706</v>
      </c>
      <c r="G18" s="157">
        <f t="shared" si="1"/>
        <v>154.61466487373647</v>
      </c>
    </row>
    <row r="19" spans="1:7" x14ac:dyDescent="0.3">
      <c r="A19" s="57">
        <v>18</v>
      </c>
      <c r="B19" s="113" t="s">
        <v>272</v>
      </c>
      <c r="C19" s="114" t="s">
        <v>257</v>
      </c>
      <c r="D19" s="157">
        <f>SUMIF('namirnice i izračun za torte'!A:A,B:B,'namirnice i izračun za torte'!J:J)</f>
        <v>1.022583762392437</v>
      </c>
      <c r="E19" s="117">
        <f t="shared" si="0"/>
        <v>6.72</v>
      </c>
      <c r="F19" s="157">
        <f>SUMIF('namirnice i izračun za torte'!A:A,B:B,'namirnice i izračun za torte'!AE:AE)+SUMIF('namirnice i izračun za suhe kol'!A:A,Namirnice!B:B,'namirnice i izračun za suhe kol'!AB:AB)</f>
        <v>6.8717628832771762</v>
      </c>
      <c r="G19" s="157">
        <f t="shared" si="1"/>
        <v>82.461154599326107</v>
      </c>
    </row>
    <row r="20" spans="1:7" x14ac:dyDescent="0.3">
      <c r="A20" s="57">
        <v>19</v>
      </c>
      <c r="B20" s="113" t="s">
        <v>273</v>
      </c>
      <c r="C20" s="114" t="s">
        <v>257</v>
      </c>
      <c r="D20" s="157">
        <f>SUMIF('namirnice i izračun za torte'!A:A,B:B,'namirnice i izračun za torte'!J:J)</f>
        <v>1.022583762392437</v>
      </c>
      <c r="E20" s="117">
        <f t="shared" si="0"/>
        <v>12.767999999999999</v>
      </c>
      <c r="F20" s="157">
        <f>SUMIF('namirnice i izračun za torte'!A:A,B:B,'namirnice i izračun za torte'!AE:AE)+SUMIF('namirnice i izračun za suhe kol'!A:A,Namirnice!B:B,'namirnice i izračun za suhe kol'!AB:AB)</f>
        <v>13.056349478226634</v>
      </c>
      <c r="G20" s="157">
        <f t="shared" si="1"/>
        <v>156.6761937387196</v>
      </c>
    </row>
    <row r="21" spans="1:7" x14ac:dyDescent="0.3">
      <c r="A21" s="57">
        <v>20</v>
      </c>
      <c r="B21" s="113" t="s">
        <v>274</v>
      </c>
      <c r="C21" s="114" t="s">
        <v>257</v>
      </c>
      <c r="D21" s="157">
        <f>SUMIF('namirnice i izračun za torte'!A:A,B:B,'namirnice i izračun za torte'!J:J)</f>
        <v>1.022583762392437</v>
      </c>
      <c r="E21" s="117">
        <f t="shared" si="0"/>
        <v>32.979999999999997</v>
      </c>
      <c r="F21" s="157">
        <f>SUMIF('namirnice i izračun za torte'!A:A,B:B,'namirnice i izračun za torte'!AE:AE)+SUMIF('namirnice i izračun za suhe kol'!A:A,Namirnice!B:B,'namirnice i izračun za suhe kol'!AB:AB)</f>
        <v>33.724812483702571</v>
      </c>
      <c r="G21" s="157">
        <f t="shared" si="1"/>
        <v>404.69774980443083</v>
      </c>
    </row>
    <row r="22" spans="1:7" x14ac:dyDescent="0.3">
      <c r="A22" s="57">
        <v>21</v>
      </c>
      <c r="B22" s="113" t="s">
        <v>275</v>
      </c>
      <c r="C22" s="114" t="s">
        <v>257</v>
      </c>
      <c r="D22" s="157">
        <f>SUMIF('namirnice i izračun za torte'!A:A,B:B,'namirnice i izračun za torte'!J:J)</f>
        <v>1.5338756435886556</v>
      </c>
      <c r="E22" s="117">
        <f t="shared" si="0"/>
        <v>95.088000000000022</v>
      </c>
      <c r="F22" s="157">
        <f>SUMIF('namirnice i izračun za torte'!A:A,B:B,'namirnice i izračun za torte'!AE:AE)+SUMIF('namirnice i izračun za suhe kol'!A:A,Namirnice!B:B,'namirnice i izračun za suhe kol'!AB:AB)</f>
        <v>145.85316719755812</v>
      </c>
      <c r="G22" s="157">
        <f t="shared" si="1"/>
        <v>1750.2380063706973</v>
      </c>
    </row>
    <row r="23" spans="1:7" x14ac:dyDescent="0.3">
      <c r="A23" s="57">
        <v>22</v>
      </c>
      <c r="B23" s="113" t="s">
        <v>276</v>
      </c>
      <c r="C23" s="114" t="s">
        <v>259</v>
      </c>
      <c r="D23" s="157">
        <f>SUMIF('namirnice i izračun za torte'!A:A,B:B,'namirnice i izračun za torte'!J:J)</f>
        <v>2.045167524784874</v>
      </c>
      <c r="E23" s="117">
        <f t="shared" si="0"/>
        <v>3.36</v>
      </c>
      <c r="F23" s="157">
        <f>SUMIF('namirnice i izračun za torte'!A:A,B:B,'namirnice i izračun za torte'!AE:AE)+SUMIF('namirnice i izračun za suhe kol'!A:A,Namirnice!B:B,'namirnice i izračun za suhe kol'!AB:AB)</f>
        <v>6.8717628832771762</v>
      </c>
      <c r="G23" s="157">
        <f t="shared" si="1"/>
        <v>82.461154599326107</v>
      </c>
    </row>
    <row r="24" spans="1:7" ht="14.4" customHeight="1" x14ac:dyDescent="0.3">
      <c r="A24" s="57">
        <v>23</v>
      </c>
      <c r="B24" s="113" t="s">
        <v>277</v>
      </c>
      <c r="C24" s="114" t="s">
        <v>257</v>
      </c>
      <c r="D24" s="157">
        <f>SUMIF('namirnice i izračun za torte'!A:A,B:B,'namirnice i izračun za torte'!J:J)</f>
        <v>3.8346891089716388</v>
      </c>
      <c r="E24" s="117">
        <f t="shared" si="0"/>
        <v>22</v>
      </c>
      <c r="F24" s="157">
        <f>SUMIF('namirnice i izračun za torte'!A:A,B:B,'namirnice i izračun za torte'!AE:AE)+SUMIF('namirnice i izračun za suhe kol'!A:A,Namirnice!B:B,'namirnice i izračun za suhe kol'!AB:AB)</f>
        <v>84.363160397376049</v>
      </c>
      <c r="G24" s="157">
        <f t="shared" si="1"/>
        <v>1012.3579247685126</v>
      </c>
    </row>
    <row r="25" spans="1:7" ht="14.4" customHeight="1" x14ac:dyDescent="0.3">
      <c r="A25" s="57">
        <v>24</v>
      </c>
      <c r="B25" s="113" t="s">
        <v>278</v>
      </c>
      <c r="C25" s="114" t="s">
        <v>256</v>
      </c>
      <c r="D25" s="157">
        <f>SUMIF('namirnice i izračun za torte'!A:A,B:B,'namirnice i izračun za torte'!J:J)</f>
        <v>3.0677512871773112</v>
      </c>
      <c r="E25" s="117">
        <f t="shared" si="0"/>
        <v>51</v>
      </c>
      <c r="F25" s="157">
        <f>SUMIF('namirnice i izračun za torte'!A:A,B:B,'namirnice i izračun za torte'!AE:AE)+SUMIF('namirnice i izračun za suhe kol'!A:A,Namirnice!B:B,'namirnice i izračun za suhe kol'!AB:AB)</f>
        <v>156.45531564604286</v>
      </c>
      <c r="G25" s="157">
        <f t="shared" si="1"/>
        <v>1877.4637877525142</v>
      </c>
    </row>
    <row r="26" spans="1:7" x14ac:dyDescent="0.3">
      <c r="A26" s="57">
        <v>25</v>
      </c>
      <c r="B26" s="113" t="s">
        <v>279</v>
      </c>
      <c r="C26" s="114" t="s">
        <v>257</v>
      </c>
      <c r="D26" s="157">
        <f>SUMIF('namirnice i izračun za torte'!A:A,B:B,'namirnice i izračun za torte'!J:J)</f>
        <v>1.022583762392437</v>
      </c>
      <c r="E26" s="117">
        <f t="shared" si="0"/>
        <v>219</v>
      </c>
      <c r="F26" s="157">
        <f>SUMIF('namirnice i izračun za torte'!A:A,B:B,'namirnice i izračun za torte'!AE:AE)+SUMIF('namirnice i izračun za suhe kol'!A:A,Namirnice!B:B,'namirnice i izračun za suhe kol'!AB:AB)</f>
        <v>223.9458439639437</v>
      </c>
      <c r="G26" s="157">
        <f t="shared" si="1"/>
        <v>2687.3501275673243</v>
      </c>
    </row>
    <row r="27" spans="1:7" x14ac:dyDescent="0.3">
      <c r="A27" s="57">
        <v>26</v>
      </c>
      <c r="B27" s="113" t="s">
        <v>280</v>
      </c>
      <c r="C27" s="114" t="s">
        <v>256</v>
      </c>
      <c r="D27" s="157">
        <f>SUMIF('namirnice i izračun za torte'!A:A,B:B,'namirnice i izračun za torte'!J:J)</f>
        <v>5.0617896238425626</v>
      </c>
      <c r="E27" s="117">
        <f t="shared" si="0"/>
        <v>30.399999999999995</v>
      </c>
      <c r="F27" s="157">
        <f>SUMIF('namirnice i izračun za torte'!A:A,B:B,'namirnice i izračun za torte'!AE:AE)+SUMIF('namirnice i izračun za suhe kol'!A:A,Namirnice!B:B,'namirnice i izračun za suhe kol'!AB:AB)</f>
        <v>153.87840456481388</v>
      </c>
      <c r="G27" s="157">
        <f t="shared" si="1"/>
        <v>1846.5408547777665</v>
      </c>
    </row>
    <row r="28" spans="1:7" x14ac:dyDescent="0.3">
      <c r="A28" s="57">
        <v>27</v>
      </c>
      <c r="B28" s="113" t="s">
        <v>882</v>
      </c>
      <c r="C28" s="114" t="s">
        <v>255</v>
      </c>
      <c r="D28" s="157">
        <f>SUMIF('namirnice i izračun za torte'!A:A,B:B,'namirnice i izračun za torte'!J:J)</f>
        <v>6.1355025743546223</v>
      </c>
      <c r="E28" s="117">
        <f t="shared" si="0"/>
        <v>33.450000000000003</v>
      </c>
      <c r="F28" s="157">
        <f>SUMIF('namirnice i izračun za torte'!A:A,B:B,'namirnice i izračun za torte'!AE:AE)+SUMIF('namirnice i izračun za suhe kol'!A:A,Namirnice!B:B,'namirnice i izračun za suhe kol'!AB:AB)</f>
        <v>205.23256111216213</v>
      </c>
      <c r="G28" s="157">
        <f t="shared" si="1"/>
        <v>2462.7907333459457</v>
      </c>
    </row>
    <row r="29" spans="1:7" x14ac:dyDescent="0.3">
      <c r="A29" s="57">
        <v>28</v>
      </c>
      <c r="B29" s="113" t="s">
        <v>281</v>
      </c>
      <c r="C29" s="114" t="s">
        <v>257</v>
      </c>
      <c r="D29" s="157">
        <f>SUMIF('namirnice i izračun za torte'!A:A,B:B,'namirnice i izračun za torte'!J:J)</f>
        <v>1.7895215841867647</v>
      </c>
      <c r="E29" s="117">
        <f t="shared" si="0"/>
        <v>36.000000000000007</v>
      </c>
      <c r="F29" s="157">
        <f>SUMIF('namirnice i izračun za torte'!A:A,B:B,'namirnice i izračun za torte'!AE:AE)+SUMIF('namirnice i izračun za suhe kol'!A:A,Namirnice!B:B,'namirnice i izračun za suhe kol'!AB:AB)</f>
        <v>64.422777030723537</v>
      </c>
      <c r="G29" s="157">
        <f t="shared" si="1"/>
        <v>773.07332436868251</v>
      </c>
    </row>
    <row r="30" spans="1:7" x14ac:dyDescent="0.3">
      <c r="A30" s="57">
        <v>29</v>
      </c>
      <c r="B30" s="113" t="s">
        <v>282</v>
      </c>
      <c r="C30" s="114" t="s">
        <v>258</v>
      </c>
      <c r="D30" s="157">
        <f>SUMIF('namirnice i izračun za torte'!A:A,B:B,'namirnice i izračun za torte'!J:J)</f>
        <v>0.76693782179432779</v>
      </c>
      <c r="E30" s="117">
        <f t="shared" si="0"/>
        <v>252</v>
      </c>
      <c r="F30" s="157">
        <f>SUMIF('namirnice i izračun za torte'!A:A,B:B,'namirnice i izračun za torte'!AE:AE)+SUMIF('namirnice i izračun za suhe kol'!A:A,Namirnice!B:B,'namirnice i izračun za suhe kol'!AB:AB)</f>
        <v>193.2683310921706</v>
      </c>
      <c r="G30" s="157">
        <f t="shared" si="1"/>
        <v>2319.2199731060473</v>
      </c>
    </row>
    <row r="31" spans="1:7" x14ac:dyDescent="0.3">
      <c r="A31" s="57">
        <v>30</v>
      </c>
      <c r="B31" s="113" t="s">
        <v>885</v>
      </c>
      <c r="C31" s="114" t="s">
        <v>257</v>
      </c>
      <c r="D31" s="157">
        <f>SUMIF('namirnice i izračun za torte'!A:A,B:B,'namirnice i izračun za torte'!J:J)</f>
        <v>0.94683681703003419</v>
      </c>
      <c r="E31" s="117">
        <f t="shared" si="0"/>
        <v>309.2</v>
      </c>
      <c r="F31" s="157">
        <f>SUMIF('namirnice i izračun za torte'!A:A,B:B,'namirnice i izračun za torte'!AE:AE)+SUMIF('namirnice i izračun za suhe kol'!A:A,Namirnice!B:B,'namirnice i izračun za suhe kol'!AB:AB)</f>
        <v>292.76194382568656</v>
      </c>
      <c r="G31" s="157">
        <f t="shared" si="1"/>
        <v>3513.1433259082387</v>
      </c>
    </row>
    <row r="32" spans="1:7" x14ac:dyDescent="0.3">
      <c r="A32" s="57">
        <v>31</v>
      </c>
      <c r="B32" s="113" t="s">
        <v>283</v>
      </c>
      <c r="C32" s="114" t="s">
        <v>255</v>
      </c>
      <c r="D32" s="157">
        <f>SUMIF('namirnice i izračun za torte'!A:A,B:B,'namirnice i izračun za torte'!J:J)</f>
        <v>3.0677512871773112</v>
      </c>
      <c r="E32" s="117">
        <f t="shared" si="0"/>
        <v>57.70000000000001</v>
      </c>
      <c r="F32" s="157">
        <f>SUMIF('namirnice i izračun za torte'!A:A,B:B,'namirnice i izračun za torte'!AE:AE)+SUMIF('namirnice i izračun za suhe kol'!A:A,Namirnice!B:B,'namirnice i izračun za suhe kol'!AB:AB)</f>
        <v>177.00924927013088</v>
      </c>
      <c r="G32" s="157">
        <f t="shared" si="1"/>
        <v>2124.1109912415704</v>
      </c>
    </row>
    <row r="33" spans="1:7" x14ac:dyDescent="0.3">
      <c r="A33" s="57">
        <v>32</v>
      </c>
      <c r="B33" s="113" t="s">
        <v>284</v>
      </c>
      <c r="C33" s="114" t="s">
        <v>255</v>
      </c>
      <c r="D33" s="157">
        <f>SUMIF('namirnice i izračun za torte'!A:A,B:B,'namirnice i izračun za torte'!J:J)</f>
        <v>4.0903350495697479</v>
      </c>
      <c r="E33" s="117">
        <f t="shared" si="0"/>
        <v>16.099999999999998</v>
      </c>
      <c r="F33" s="157">
        <f>SUMIF('namirnice i izračun za torte'!A:A,B:B,'namirnice i izračun za torte'!AE:AE)+SUMIF('namirnice i izračun za suhe kol'!A:A,Namirnice!B:B,'namirnice i izračun za suhe kol'!AB:AB)</f>
        <v>65.854394298072933</v>
      </c>
      <c r="G33" s="157">
        <f t="shared" si="1"/>
        <v>790.25273157687525</v>
      </c>
    </row>
    <row r="34" spans="1:7" x14ac:dyDescent="0.3">
      <c r="A34" s="57">
        <v>33</v>
      </c>
      <c r="B34" s="113" t="s">
        <v>285</v>
      </c>
      <c r="C34" s="114" t="s">
        <v>258</v>
      </c>
      <c r="D34" s="157">
        <f>SUMIF('namirnice i izračun za torte'!A:A,B:B,'namirnice i izračun za torte'!J:J)</f>
        <v>0.71580863367470582</v>
      </c>
      <c r="E34" s="117">
        <f t="shared" si="0"/>
        <v>130.00000000000003</v>
      </c>
      <c r="F34" s="157">
        <f>SUMIF('namirnice i izračun za torte'!A:A,B:B,'namirnice i izračun za torte'!AE:AE)+SUMIF('namirnice i izračun za suhe kol'!A:A,Namirnice!B:B,'namirnice i izračun za suhe kol'!AB:AB)</f>
        <v>93.055122377711768</v>
      </c>
      <c r="G34" s="157">
        <f t="shared" si="1"/>
        <v>1116.6614685325412</v>
      </c>
    </row>
    <row r="35" spans="1:7" x14ac:dyDescent="0.3">
      <c r="A35" s="57">
        <v>34</v>
      </c>
      <c r="B35" s="113" t="s">
        <v>286</v>
      </c>
      <c r="C35" s="114" t="s">
        <v>258</v>
      </c>
      <c r="D35" s="157">
        <f>SUMIF('namirnice i izračun za torte'!A:A,B:B,'namirnice i izračun za torte'!J:J)</f>
        <v>0.71580863367470582</v>
      </c>
      <c r="E35" s="117">
        <f t="shared" si="0"/>
        <v>86</v>
      </c>
      <c r="F35" s="157">
        <f>SUMIF('namirnice i izračun za torte'!A:A,B:B,'namirnice i izračun za torte'!AE:AE)+SUMIF('namirnice i izračun za suhe kol'!A:A,Namirnice!B:B,'namirnice i izračun za suhe kol'!AB:AB)</f>
        <v>61.559542496024704</v>
      </c>
      <c r="G35" s="157">
        <f t="shared" si="1"/>
        <v>738.71450995229645</v>
      </c>
    </row>
    <row r="36" spans="1:7" x14ac:dyDescent="0.3">
      <c r="A36" s="57">
        <v>35</v>
      </c>
      <c r="B36" s="113" t="s">
        <v>287</v>
      </c>
      <c r="C36" s="114" t="s">
        <v>257</v>
      </c>
      <c r="D36" s="157">
        <f>SUMIF('namirnice i izračun za torte'!A:A,B:B,'namirnice i izračun za torte'!J:J)</f>
        <v>1.5338756435886556</v>
      </c>
      <c r="E36" s="117">
        <f t="shared" si="0"/>
        <v>22.5</v>
      </c>
      <c r="F36" s="157">
        <f>SUMIF('namirnice i izračun za torte'!A:A,B:B,'namirnice i izračun za torte'!AE:AE)+SUMIF('namirnice i izračun za suhe kol'!A:A,Namirnice!B:B,'namirnice i izračun za suhe kol'!AB:AB)</f>
        <v>34.512201980744749</v>
      </c>
      <c r="G36" s="157">
        <f t="shared" si="1"/>
        <v>414.14642376893698</v>
      </c>
    </row>
    <row r="37" spans="1:7" x14ac:dyDescent="0.3">
      <c r="A37" s="57">
        <v>36</v>
      </c>
      <c r="B37" s="113" t="s">
        <v>288</v>
      </c>
      <c r="C37" s="114" t="s">
        <v>258</v>
      </c>
      <c r="D37" s="157">
        <f>SUMIF('namirnice i izračun za torte'!A:A,B:B,'namirnice i izračun za torte'!J:J)</f>
        <v>1.022583762392437</v>
      </c>
      <c r="E37" s="117">
        <f t="shared" si="0"/>
        <v>44</v>
      </c>
      <c r="F37" s="157">
        <f>SUMIF('namirnice i izračun za torte'!A:A,B:B,'namirnice i izračun za torte'!AE:AE)+SUMIF('namirnice i izračun za suhe kol'!A:A,Namirnice!B:B,'namirnice i izračun za suhe kol'!AB:AB)</f>
        <v>44.993685545267226</v>
      </c>
      <c r="G37" s="157">
        <f t="shared" si="1"/>
        <v>539.92422654320671</v>
      </c>
    </row>
    <row r="38" spans="1:7" x14ac:dyDescent="0.3">
      <c r="A38" s="57">
        <v>37</v>
      </c>
      <c r="B38" s="113" t="s">
        <v>289</v>
      </c>
      <c r="C38" s="16"/>
      <c r="D38" s="157">
        <f>SUMIF('namirnice i izračun za torte'!A:A,B:B,'namirnice i izračun za torte'!J:J)</f>
        <v>1.5338756435886556</v>
      </c>
      <c r="E38" s="117">
        <f t="shared" si="0"/>
        <v>78</v>
      </c>
      <c r="F38" s="157">
        <f>SUMIF('namirnice i izračun za torte'!A:A,B:B,'namirnice i izračun za torte'!AE:AE)+SUMIF('namirnice i izračun za suhe kol'!A:A,Namirnice!B:B,'namirnice i izračun za suhe kol'!AB:AB)</f>
        <v>119.64230019991513</v>
      </c>
      <c r="G38" s="157">
        <f t="shared" si="1"/>
        <v>1435.7076023989816</v>
      </c>
    </row>
    <row r="39" spans="1:7" x14ac:dyDescent="0.3">
      <c r="A39" s="57">
        <v>38</v>
      </c>
      <c r="B39" s="113" t="s">
        <v>290</v>
      </c>
      <c r="C39" s="114" t="s">
        <v>258</v>
      </c>
      <c r="D39" s="157">
        <f>SUMIF('namirnice i izračun za torte'!A:A,B:B,'namirnice i izračun za torte'!J:J)</f>
        <v>1.022583762392437</v>
      </c>
      <c r="E39" s="117">
        <f t="shared" si="0"/>
        <v>272.16000000000003</v>
      </c>
      <c r="F39" s="157">
        <f>SUMIF('namirnice i izračun za torte'!A:A,B:B,'namirnice i izračun za torte'!AE:AE)+SUMIF('namirnice i izračun za suhe kol'!A:A,Namirnice!B:B,'namirnice i izračun za suhe kol'!AB:AB)</f>
        <v>278.30639677272569</v>
      </c>
      <c r="G39" s="157">
        <f t="shared" si="1"/>
        <v>3339.6767612727081</v>
      </c>
    </row>
    <row r="40" spans="1:7" x14ac:dyDescent="0.3">
      <c r="A40" s="57">
        <v>39</v>
      </c>
      <c r="B40" s="113" t="s">
        <v>291</v>
      </c>
      <c r="C40" s="114" t="s">
        <v>256</v>
      </c>
      <c r="D40" s="157">
        <f>3.5/1.95583</f>
        <v>1.7895215841867647</v>
      </c>
      <c r="E40" s="117">
        <v>5</v>
      </c>
      <c r="F40" s="157">
        <f>D40*E40</f>
        <v>8.9476079209338231</v>
      </c>
      <c r="G40" s="157">
        <f t="shared" si="1"/>
        <v>107.37129505120588</v>
      </c>
    </row>
    <row r="41" spans="1:7" x14ac:dyDescent="0.3">
      <c r="F41" s="76" t="s">
        <v>118</v>
      </c>
      <c r="G41" s="100">
        <f>SUM(G2:G40)</f>
        <v>53680.527607773227</v>
      </c>
    </row>
    <row r="46" spans="1:7" x14ac:dyDescent="0.3">
      <c r="F46" s="11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27"/>
  <sheetViews>
    <sheetView zoomScale="99" zoomScaleNormal="99" workbookViewId="0">
      <selection activeCell="D2" sqref="D2"/>
    </sheetView>
  </sheetViews>
  <sheetFormatPr defaultRowHeight="14.4" x14ac:dyDescent="0.3"/>
  <cols>
    <col min="1" max="1" width="7" customWidth="1"/>
    <col min="2" max="2" width="36.33203125" customWidth="1"/>
    <col min="3" max="3" width="18.5546875" customWidth="1"/>
    <col min="4" max="4" width="20" customWidth="1"/>
    <col min="5" max="5" width="17.109375" customWidth="1"/>
    <col min="6" max="6" width="24.77734375" customWidth="1"/>
    <col min="7" max="7" width="20.88671875" customWidth="1"/>
    <col min="8" max="8" width="12" bestFit="1" customWidth="1"/>
  </cols>
  <sheetData>
    <row r="1" spans="1:7" x14ac:dyDescent="0.3">
      <c r="A1" s="40" t="s">
        <v>68</v>
      </c>
      <c r="B1" s="45" t="s">
        <v>69</v>
      </c>
      <c r="C1" s="45" t="s">
        <v>70</v>
      </c>
      <c r="D1" s="45" t="s">
        <v>195</v>
      </c>
      <c r="E1" s="45" t="s">
        <v>9</v>
      </c>
      <c r="F1" s="45" t="s">
        <v>71</v>
      </c>
      <c r="G1" s="45" t="s">
        <v>72</v>
      </c>
    </row>
    <row r="2" spans="1:7" x14ac:dyDescent="0.3">
      <c r="A2" s="57">
        <v>1</v>
      </c>
      <c r="B2" s="15" t="s">
        <v>73</v>
      </c>
      <c r="C2" s="16" t="s">
        <v>81</v>
      </c>
      <c r="D2" s="15">
        <v>16</v>
      </c>
      <c r="E2" s="291">
        <v>47</v>
      </c>
      <c r="F2" s="291">
        <f>D2*E2</f>
        <v>752</v>
      </c>
      <c r="G2" s="291">
        <f>F2*12</f>
        <v>9024</v>
      </c>
    </row>
    <row r="3" spans="1:7" x14ac:dyDescent="0.3">
      <c r="A3" s="57">
        <v>2</v>
      </c>
      <c r="B3" s="15" t="s">
        <v>184</v>
      </c>
      <c r="C3" s="16" t="s">
        <v>81</v>
      </c>
      <c r="D3" s="15">
        <v>22</v>
      </c>
      <c r="E3" s="291">
        <v>52</v>
      </c>
      <c r="F3" s="291">
        <f t="shared" ref="F3:F4" si="0">D3*E3</f>
        <v>1144</v>
      </c>
      <c r="G3" s="291">
        <f t="shared" ref="G3:G4" si="1">F3*12</f>
        <v>13728</v>
      </c>
    </row>
    <row r="4" spans="1:7" x14ac:dyDescent="0.3">
      <c r="A4" s="57">
        <v>3</v>
      </c>
      <c r="B4" s="15" t="s">
        <v>74</v>
      </c>
      <c r="C4" s="16" t="s">
        <v>81</v>
      </c>
      <c r="D4" s="15">
        <v>13</v>
      </c>
      <c r="E4" s="291">
        <v>57</v>
      </c>
      <c r="F4" s="291">
        <f t="shared" si="0"/>
        <v>741</v>
      </c>
      <c r="G4" s="291">
        <f t="shared" si="1"/>
        <v>8892</v>
      </c>
    </row>
    <row r="5" spans="1:7" x14ac:dyDescent="0.3">
      <c r="A5" s="57">
        <v>4</v>
      </c>
      <c r="B5" s="15" t="s">
        <v>75</v>
      </c>
      <c r="C5" s="16" t="s">
        <v>81</v>
      </c>
      <c r="D5" s="15">
        <v>9</v>
      </c>
      <c r="E5" s="291">
        <v>49</v>
      </c>
      <c r="F5" s="291">
        <f>D5*E5</f>
        <v>441</v>
      </c>
      <c r="G5" s="291">
        <f t="shared" ref="G5" si="2">F5*12</f>
        <v>5292</v>
      </c>
    </row>
    <row r="6" spans="1:7" x14ac:dyDescent="0.3">
      <c r="A6" s="57">
        <v>5</v>
      </c>
      <c r="B6" s="15" t="s">
        <v>185</v>
      </c>
      <c r="C6" s="16" t="s">
        <v>81</v>
      </c>
      <c r="D6" s="15">
        <v>13</v>
      </c>
      <c r="E6" s="291">
        <v>54</v>
      </c>
      <c r="F6" s="291">
        <f t="shared" ref="F6:F7" si="3">D6*E6</f>
        <v>702</v>
      </c>
      <c r="G6" s="291">
        <f t="shared" ref="G6:G7" si="4">F6*12</f>
        <v>8424</v>
      </c>
    </row>
    <row r="7" spans="1:7" x14ac:dyDescent="0.3">
      <c r="A7" s="57">
        <v>6</v>
      </c>
      <c r="B7" s="15" t="s">
        <v>76</v>
      </c>
      <c r="C7" s="16" t="s">
        <v>81</v>
      </c>
      <c r="D7" s="15">
        <v>5</v>
      </c>
      <c r="E7" s="291">
        <v>59</v>
      </c>
      <c r="F7" s="291">
        <f t="shared" si="3"/>
        <v>295</v>
      </c>
      <c r="G7" s="291">
        <f t="shared" si="4"/>
        <v>3540</v>
      </c>
    </row>
    <row r="8" spans="1:7" x14ac:dyDescent="0.3">
      <c r="A8" s="57">
        <v>7</v>
      </c>
      <c r="B8" s="106" t="s">
        <v>196</v>
      </c>
      <c r="C8" s="16" t="s">
        <v>81</v>
      </c>
      <c r="D8" s="15">
        <v>14</v>
      </c>
      <c r="E8" s="291">
        <v>22</v>
      </c>
      <c r="F8" s="291">
        <f>D8*E8</f>
        <v>308</v>
      </c>
      <c r="G8" s="291">
        <f>F8*12</f>
        <v>3696</v>
      </c>
    </row>
    <row r="9" spans="1:7" x14ac:dyDescent="0.3">
      <c r="A9" s="57">
        <v>8</v>
      </c>
      <c r="B9" s="15" t="s">
        <v>197</v>
      </c>
      <c r="C9" s="16" t="s">
        <v>81</v>
      </c>
      <c r="D9" s="15">
        <v>21</v>
      </c>
      <c r="E9" s="291">
        <v>57</v>
      </c>
      <c r="F9" s="291">
        <f t="shared" ref="F9:F17" si="5">D9*E9</f>
        <v>1197</v>
      </c>
      <c r="G9" s="291">
        <f t="shared" ref="G9:G10" si="6">F9*12</f>
        <v>14364</v>
      </c>
    </row>
    <row r="10" spans="1:7" x14ac:dyDescent="0.3">
      <c r="A10" s="57">
        <v>9</v>
      </c>
      <c r="B10" s="15" t="s">
        <v>198</v>
      </c>
      <c r="C10" s="16" t="s">
        <v>81</v>
      </c>
      <c r="D10" s="15">
        <v>9</v>
      </c>
      <c r="E10" s="291">
        <v>62</v>
      </c>
      <c r="F10" s="291">
        <f t="shared" si="5"/>
        <v>558</v>
      </c>
      <c r="G10" s="291">
        <f t="shared" si="6"/>
        <v>6696</v>
      </c>
    </row>
    <row r="11" spans="1:7" x14ac:dyDescent="0.3">
      <c r="A11" s="57">
        <v>10</v>
      </c>
      <c r="B11" s="106" t="s">
        <v>872</v>
      </c>
      <c r="C11" s="16" t="s">
        <v>81</v>
      </c>
      <c r="D11" s="15">
        <v>13</v>
      </c>
      <c r="E11" s="291">
        <v>42</v>
      </c>
      <c r="F11" s="291">
        <f t="shared" si="5"/>
        <v>546</v>
      </c>
      <c r="G11" s="291">
        <f>F11*12</f>
        <v>6552</v>
      </c>
    </row>
    <row r="12" spans="1:7" x14ac:dyDescent="0.3">
      <c r="A12" s="57">
        <v>11</v>
      </c>
      <c r="B12" s="106" t="s">
        <v>873</v>
      </c>
      <c r="C12" s="16" t="s">
        <v>81</v>
      </c>
      <c r="D12" s="15">
        <v>20</v>
      </c>
      <c r="E12" s="291">
        <v>47</v>
      </c>
      <c r="F12" s="291">
        <f t="shared" si="5"/>
        <v>940</v>
      </c>
      <c r="G12" s="291">
        <f t="shared" ref="G12:G13" si="7">F12*12</f>
        <v>11280</v>
      </c>
    </row>
    <row r="13" spans="1:7" x14ac:dyDescent="0.3">
      <c r="A13" s="57">
        <v>12</v>
      </c>
      <c r="B13" s="106" t="s">
        <v>874</v>
      </c>
      <c r="C13" s="16" t="s">
        <v>81</v>
      </c>
      <c r="D13" s="15">
        <v>12</v>
      </c>
      <c r="E13" s="291">
        <v>52</v>
      </c>
      <c r="F13" s="291">
        <f t="shared" si="5"/>
        <v>624</v>
      </c>
      <c r="G13" s="291">
        <f t="shared" si="7"/>
        <v>7488</v>
      </c>
    </row>
    <row r="14" spans="1:7" x14ac:dyDescent="0.3">
      <c r="A14" s="57">
        <v>13</v>
      </c>
      <c r="B14" s="15" t="s">
        <v>77</v>
      </c>
      <c r="C14" s="16" t="s">
        <v>81</v>
      </c>
      <c r="D14" s="15">
        <v>6</v>
      </c>
      <c r="E14" s="291">
        <v>42</v>
      </c>
      <c r="F14" s="291">
        <f t="shared" si="5"/>
        <v>252</v>
      </c>
      <c r="G14" s="291">
        <f>F14*12</f>
        <v>3024</v>
      </c>
    </row>
    <row r="15" spans="1:7" x14ac:dyDescent="0.3">
      <c r="A15" s="57">
        <v>14</v>
      </c>
      <c r="B15" s="15" t="s">
        <v>187</v>
      </c>
      <c r="C15" s="16" t="s">
        <v>81</v>
      </c>
      <c r="D15" s="15">
        <v>10</v>
      </c>
      <c r="E15" s="291">
        <v>47</v>
      </c>
      <c r="F15" s="291">
        <f t="shared" si="5"/>
        <v>470</v>
      </c>
      <c r="G15" s="291">
        <f t="shared" ref="G15:G16" si="8">F15*12</f>
        <v>5640</v>
      </c>
    </row>
    <row r="16" spans="1:7" x14ac:dyDescent="0.3">
      <c r="A16" s="57">
        <v>15</v>
      </c>
      <c r="B16" s="15" t="s">
        <v>78</v>
      </c>
      <c r="C16" s="16" t="s">
        <v>81</v>
      </c>
      <c r="D16" s="15">
        <v>7</v>
      </c>
      <c r="E16" s="291">
        <v>52</v>
      </c>
      <c r="F16" s="291">
        <f t="shared" si="5"/>
        <v>364</v>
      </c>
      <c r="G16" s="291">
        <f t="shared" si="8"/>
        <v>4368</v>
      </c>
    </row>
    <row r="17" spans="1:8" x14ac:dyDescent="0.3">
      <c r="A17" s="57">
        <v>16</v>
      </c>
      <c r="B17" s="15" t="s">
        <v>79</v>
      </c>
      <c r="C17" s="16" t="s">
        <v>81</v>
      </c>
      <c r="D17" s="15">
        <v>5</v>
      </c>
      <c r="E17" s="291">
        <v>47</v>
      </c>
      <c r="F17" s="291">
        <f t="shared" si="5"/>
        <v>235</v>
      </c>
      <c r="G17" s="291">
        <f>F17*12</f>
        <v>2820</v>
      </c>
    </row>
    <row r="18" spans="1:8" x14ac:dyDescent="0.3">
      <c r="A18" s="57">
        <v>17</v>
      </c>
      <c r="B18" s="15" t="s">
        <v>188</v>
      </c>
      <c r="C18" s="16" t="s">
        <v>81</v>
      </c>
      <c r="D18" s="15">
        <v>12</v>
      </c>
      <c r="E18" s="291">
        <v>52</v>
      </c>
      <c r="F18" s="291">
        <f t="shared" ref="F18:F19" si="9">D18*E18</f>
        <v>624</v>
      </c>
      <c r="G18" s="291">
        <f t="shared" ref="G18:G19" si="10">F18*12</f>
        <v>7488</v>
      </c>
    </row>
    <row r="19" spans="1:8" x14ac:dyDescent="0.3">
      <c r="A19" s="57">
        <v>18</v>
      </c>
      <c r="B19" s="15" t="s">
        <v>80</v>
      </c>
      <c r="C19" s="16" t="s">
        <v>81</v>
      </c>
      <c r="D19" s="15">
        <v>4</v>
      </c>
      <c r="E19" s="291">
        <v>57</v>
      </c>
      <c r="F19" s="291">
        <f t="shared" si="9"/>
        <v>228</v>
      </c>
      <c r="G19" s="291">
        <f t="shared" si="10"/>
        <v>2736</v>
      </c>
    </row>
    <row r="20" spans="1:8" x14ac:dyDescent="0.3">
      <c r="A20" s="57">
        <v>19</v>
      </c>
      <c r="B20" s="15" t="s">
        <v>192</v>
      </c>
      <c r="C20" s="16" t="s">
        <v>81</v>
      </c>
      <c r="D20" s="15">
        <v>13</v>
      </c>
      <c r="E20" s="291">
        <v>50</v>
      </c>
      <c r="F20" s="291">
        <f>D20*E20</f>
        <v>650</v>
      </c>
      <c r="G20" s="291">
        <f>F20*12</f>
        <v>7800</v>
      </c>
    </row>
    <row r="21" spans="1:8" x14ac:dyDescent="0.3">
      <c r="A21" s="57">
        <v>20</v>
      </c>
      <c r="B21" s="15" t="s">
        <v>193</v>
      </c>
      <c r="C21" s="16" t="s">
        <v>81</v>
      </c>
      <c r="D21" s="15">
        <v>18</v>
      </c>
      <c r="E21" s="291">
        <v>54</v>
      </c>
      <c r="F21" s="291">
        <f t="shared" ref="F21:F22" si="11">D21*E21</f>
        <v>972</v>
      </c>
      <c r="G21" s="291">
        <f t="shared" ref="G21:G22" si="12">F21*12</f>
        <v>11664</v>
      </c>
    </row>
    <row r="22" spans="1:8" x14ac:dyDescent="0.3">
      <c r="A22" s="57">
        <v>21</v>
      </c>
      <c r="B22" s="15" t="s">
        <v>194</v>
      </c>
      <c r="C22" s="16" t="s">
        <v>81</v>
      </c>
      <c r="D22" s="15">
        <v>10</v>
      </c>
      <c r="E22" s="291">
        <v>60</v>
      </c>
      <c r="F22" s="291">
        <f t="shared" si="11"/>
        <v>600</v>
      </c>
      <c r="G22" s="291">
        <f t="shared" si="12"/>
        <v>7200</v>
      </c>
    </row>
    <row r="23" spans="1:8" x14ac:dyDescent="0.3">
      <c r="A23" s="57">
        <v>22</v>
      </c>
      <c r="B23" s="15" t="s">
        <v>189</v>
      </c>
      <c r="C23" s="114" t="s">
        <v>255</v>
      </c>
      <c r="D23" s="15">
        <v>35</v>
      </c>
      <c r="E23" s="291">
        <v>22</v>
      </c>
      <c r="F23" s="291">
        <f>D23*E23</f>
        <v>770</v>
      </c>
      <c r="G23" s="291">
        <f>F23*12</f>
        <v>9240</v>
      </c>
    </row>
    <row r="24" spans="1:8" x14ac:dyDescent="0.3">
      <c r="A24" s="57">
        <v>25</v>
      </c>
      <c r="B24" s="15" t="s">
        <v>190</v>
      </c>
      <c r="C24" s="16" t="s">
        <v>81</v>
      </c>
      <c r="D24" s="15">
        <v>70</v>
      </c>
      <c r="E24" s="291">
        <v>5</v>
      </c>
      <c r="F24" s="291">
        <f>D24*E24</f>
        <v>350</v>
      </c>
      <c r="G24" s="291">
        <f>F24*12</f>
        <v>4200</v>
      </c>
    </row>
    <row r="25" spans="1:8" x14ac:dyDescent="0.3">
      <c r="A25" s="57">
        <v>26</v>
      </c>
      <c r="B25" s="15" t="s">
        <v>191</v>
      </c>
      <c r="C25" s="16" t="s">
        <v>81</v>
      </c>
      <c r="D25" s="15">
        <v>35</v>
      </c>
      <c r="E25" s="291">
        <v>15</v>
      </c>
      <c r="F25" s="291">
        <f>D25*E25</f>
        <v>525</v>
      </c>
      <c r="G25" s="291">
        <f>F25*12</f>
        <v>6300</v>
      </c>
    </row>
    <row r="26" spans="1:8" x14ac:dyDescent="0.3">
      <c r="A26" s="57">
        <v>27</v>
      </c>
      <c r="B26" s="106" t="s">
        <v>861</v>
      </c>
      <c r="C26" s="114" t="s">
        <v>862</v>
      </c>
      <c r="D26" s="15">
        <v>3000</v>
      </c>
      <c r="E26" s="291">
        <v>0.15</v>
      </c>
      <c r="F26" s="291">
        <f>D26*E26</f>
        <v>450</v>
      </c>
      <c r="G26" s="291">
        <f>F26*12</f>
        <v>5400</v>
      </c>
      <c r="H26" s="271"/>
    </row>
    <row r="27" spans="1:8" x14ac:dyDescent="0.3">
      <c r="F27" s="76" t="s">
        <v>72</v>
      </c>
      <c r="G27" s="292">
        <f>SUM(G2:G26)</f>
        <v>176856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Q141"/>
  <sheetViews>
    <sheetView zoomScale="90" zoomScaleNormal="90" workbookViewId="0">
      <selection activeCell="D20" sqref="D20:D27"/>
    </sheetView>
  </sheetViews>
  <sheetFormatPr defaultRowHeight="14.4" x14ac:dyDescent="0.3"/>
  <cols>
    <col min="1" max="1" width="11.44140625" customWidth="1"/>
    <col min="2" max="2" width="24.88671875" customWidth="1"/>
    <col min="3" max="3" width="14" customWidth="1"/>
    <col min="4" max="4" width="18.5546875" customWidth="1"/>
    <col min="5" max="6" width="19.109375" customWidth="1"/>
    <col min="7" max="7" width="13.88671875" customWidth="1"/>
    <col min="8" max="16" width="12.77734375" customWidth="1"/>
    <col min="17" max="17" width="13.77734375" customWidth="1"/>
  </cols>
  <sheetData>
    <row r="1" spans="1:17" x14ac:dyDescent="0.3">
      <c r="A1" s="310" t="s">
        <v>853</v>
      </c>
      <c r="B1" s="310"/>
      <c r="C1" s="310"/>
    </row>
    <row r="2" spans="1:17" x14ac:dyDescent="0.3">
      <c r="A2" s="332" t="s">
        <v>35</v>
      </c>
      <c r="B2" s="332"/>
      <c r="C2" s="137">
        <v>35570</v>
      </c>
      <c r="D2" s="86"/>
      <c r="E2" s="45" t="s">
        <v>127</v>
      </c>
      <c r="F2" s="45" t="s">
        <v>845</v>
      </c>
      <c r="G2" s="45">
        <v>2024</v>
      </c>
      <c r="H2" s="45">
        <v>2025</v>
      </c>
      <c r="I2" s="45">
        <v>2026</v>
      </c>
      <c r="J2" s="45">
        <v>2027</v>
      </c>
      <c r="K2" s="45">
        <v>2028</v>
      </c>
      <c r="L2" s="45">
        <v>2029</v>
      </c>
      <c r="M2" s="45">
        <v>2030</v>
      </c>
      <c r="N2" s="45">
        <v>2031</v>
      </c>
      <c r="O2" s="45">
        <v>2032</v>
      </c>
      <c r="P2" s="45">
        <v>2033</v>
      </c>
      <c r="Q2" s="93" t="s">
        <v>7</v>
      </c>
    </row>
    <row r="3" spans="1:17" x14ac:dyDescent="0.3">
      <c r="A3" s="332" t="s">
        <v>125</v>
      </c>
      <c r="B3" s="332"/>
      <c r="C3" s="62">
        <v>1</v>
      </c>
      <c r="D3" s="86"/>
      <c r="E3" s="92" t="s">
        <v>129</v>
      </c>
      <c r="F3" s="209">
        <v>0</v>
      </c>
      <c r="G3" s="155">
        <f>SUM(D20:D31)</f>
        <v>2690.7518097874117</v>
      </c>
      <c r="H3" s="155">
        <f>SUM(D32:D43)</f>
        <v>2853.8702906590047</v>
      </c>
      <c r="I3" s="155">
        <f>SUM(D44:D55)</f>
        <v>3026.8773233862808</v>
      </c>
      <c r="J3" s="155">
        <f>SUM(D56:D67)</f>
        <v>3210.3723707479521</v>
      </c>
      <c r="K3" s="155">
        <f>SUM(D68:D79)</f>
        <v>3404.9912360939593</v>
      </c>
      <c r="L3" s="155">
        <f>SUM(D80:D91)</f>
        <v>3611.4082663798617</v>
      </c>
      <c r="M3" s="155">
        <f>SUM(D92:D103)</f>
        <v>3830.3386887533543</v>
      </c>
      <c r="N3" s="155">
        <f>SUM(D104:D115)</f>
        <v>4062.5410887890903</v>
      </c>
      <c r="O3" s="155">
        <f>SUM(D116:D127)</f>
        <v>4308.8200389588055</v>
      </c>
      <c r="P3" s="155">
        <f>SUM(D128:D139)</f>
        <v>4570.0288864442855</v>
      </c>
      <c r="Q3" s="155">
        <f>SUM(G3:P3)</f>
        <v>35570.000000000007</v>
      </c>
    </row>
    <row r="4" spans="1:17" x14ac:dyDescent="0.3">
      <c r="A4" s="332" t="s">
        <v>126</v>
      </c>
      <c r="B4" s="332"/>
      <c r="C4" s="62"/>
      <c r="D4" s="86"/>
      <c r="E4" s="92" t="s">
        <v>131</v>
      </c>
      <c r="F4" s="156">
        <v>58.3</v>
      </c>
      <c r="G4" s="156">
        <f>SUM(C20:C31)</f>
        <v>2026.6407640673942</v>
      </c>
      <c r="H4" s="156">
        <f>SUM(C32:C43)</f>
        <v>1863.5222831958015</v>
      </c>
      <c r="I4" s="156">
        <f>SUM(C44:C55)</f>
        <v>1690.515250468525</v>
      </c>
      <c r="J4" s="156">
        <f>SUM(C56:C67)</f>
        <v>1507.0202031068536</v>
      </c>
      <c r="K4" s="156">
        <f>SUM(C68:C79)</f>
        <v>1312.4013377608462</v>
      </c>
      <c r="L4" s="156">
        <f>SUM(C80:C91)</f>
        <v>1105.9843074749438</v>
      </c>
      <c r="M4" s="156">
        <f>SUM(C92:C103)</f>
        <v>887.0538851014511</v>
      </c>
      <c r="N4" s="156">
        <f>SUM(C104:C115)</f>
        <v>654.851485065715</v>
      </c>
      <c r="O4" s="156">
        <f>SUM(C116:C127)</f>
        <v>408.57253489599969</v>
      </c>
      <c r="P4" s="156">
        <f>SUM(C128:C139)</f>
        <v>147.3636874105195</v>
      </c>
      <c r="Q4" s="156">
        <f>SUM(G4:P4)</f>
        <v>11603.925738548052</v>
      </c>
    </row>
    <row r="5" spans="1:17" x14ac:dyDescent="0.3">
      <c r="A5" s="332" t="s">
        <v>128</v>
      </c>
      <c r="B5" s="332"/>
      <c r="C5" s="95">
        <v>0</v>
      </c>
      <c r="D5" s="87"/>
      <c r="E5" s="47" t="s">
        <v>7</v>
      </c>
      <c r="F5" s="157">
        <f>SUM(F3:F4)</f>
        <v>58.3</v>
      </c>
      <c r="G5" s="157">
        <f>SUM(G3:G4)</f>
        <v>4717.392573854806</v>
      </c>
      <c r="H5" s="157">
        <f t="shared" ref="H5:Q5" si="0">SUM(H3:H4)</f>
        <v>4717.392573854806</v>
      </c>
      <c r="I5" s="157">
        <f t="shared" si="0"/>
        <v>4717.392573854806</v>
      </c>
      <c r="J5" s="157">
        <f t="shared" si="0"/>
        <v>4717.392573854806</v>
      </c>
      <c r="K5" s="157">
        <f t="shared" si="0"/>
        <v>4717.392573854806</v>
      </c>
      <c r="L5" s="157">
        <f t="shared" si="0"/>
        <v>4717.392573854806</v>
      </c>
      <c r="M5" s="157">
        <f t="shared" si="0"/>
        <v>4717.3925738548051</v>
      </c>
      <c r="N5" s="157">
        <f t="shared" si="0"/>
        <v>4717.3925738548051</v>
      </c>
      <c r="O5" s="157">
        <f t="shared" si="0"/>
        <v>4717.3925738548051</v>
      </c>
      <c r="P5" s="157">
        <f t="shared" si="0"/>
        <v>4717.3925738548051</v>
      </c>
      <c r="Q5" s="157">
        <f t="shared" si="0"/>
        <v>47173.92573854806</v>
      </c>
    </row>
    <row r="6" spans="1:17" x14ac:dyDescent="0.3">
      <c r="A6" s="332" t="s">
        <v>130</v>
      </c>
      <c r="B6" s="332"/>
      <c r="C6" s="94">
        <f>PMT(C13,C9,C10,C11)*-1</f>
        <v>393.11604782123379</v>
      </c>
      <c r="D6" s="86"/>
    </row>
    <row r="7" spans="1:17" x14ac:dyDescent="0.3">
      <c r="A7" s="86"/>
      <c r="B7" s="86"/>
      <c r="D7" s="86"/>
    </row>
    <row r="8" spans="1:17" x14ac:dyDescent="0.3">
      <c r="A8" s="332" t="s">
        <v>132</v>
      </c>
      <c r="B8" s="332"/>
      <c r="C8" s="95">
        <v>5.8999999999999997E-2</v>
      </c>
      <c r="D8" s="86"/>
      <c r="J8" s="86"/>
      <c r="K8" s="86"/>
      <c r="L8" s="86"/>
      <c r="M8" s="86"/>
      <c r="N8" s="86"/>
      <c r="O8" s="86"/>
      <c r="P8" s="86"/>
      <c r="Q8" s="86"/>
    </row>
    <row r="9" spans="1:17" x14ac:dyDescent="0.3">
      <c r="A9" s="332" t="s">
        <v>133</v>
      </c>
      <c r="B9" s="332"/>
      <c r="C9" s="62">
        <v>120</v>
      </c>
      <c r="D9" s="86"/>
      <c r="J9" s="86"/>
      <c r="K9" s="86"/>
      <c r="L9" s="86"/>
      <c r="M9" s="86"/>
      <c r="N9" s="86"/>
      <c r="O9" s="86"/>
      <c r="P9" s="86"/>
      <c r="Q9" s="86"/>
    </row>
    <row r="10" spans="1:17" x14ac:dyDescent="0.3">
      <c r="A10" s="332" t="s">
        <v>134</v>
      </c>
      <c r="B10" s="332"/>
      <c r="C10" s="96">
        <f>C2</f>
        <v>35570</v>
      </c>
      <c r="D10" s="86"/>
      <c r="J10" s="86"/>
      <c r="K10" s="86"/>
      <c r="L10" s="86"/>
      <c r="M10" s="86"/>
      <c r="N10" s="86"/>
      <c r="O10" s="86"/>
      <c r="P10" s="86"/>
      <c r="Q10" s="86"/>
    </row>
    <row r="11" spans="1:17" x14ac:dyDescent="0.3">
      <c r="A11" s="333" t="s">
        <v>135</v>
      </c>
      <c r="B11" s="333"/>
      <c r="C11" s="97">
        <v>0</v>
      </c>
      <c r="D11" s="86"/>
      <c r="J11" s="86"/>
      <c r="K11" s="86"/>
      <c r="L11" s="86"/>
      <c r="M11" s="86"/>
      <c r="N11" s="86"/>
      <c r="O11" s="86"/>
      <c r="P11" s="86"/>
      <c r="Q11" s="86"/>
    </row>
    <row r="12" spans="1:17" x14ac:dyDescent="0.3">
      <c r="A12" s="332" t="s">
        <v>136</v>
      </c>
      <c r="B12" s="332"/>
      <c r="C12" s="98">
        <v>12</v>
      </c>
      <c r="D12" s="86"/>
      <c r="E12" s="86"/>
      <c r="F12" s="86"/>
      <c r="J12" s="86"/>
      <c r="K12" s="86"/>
      <c r="O12" s="86"/>
      <c r="P12" s="86"/>
      <c r="Q12" s="86"/>
    </row>
    <row r="13" spans="1:17" x14ac:dyDescent="0.3">
      <c r="A13" s="332" t="s">
        <v>137</v>
      </c>
      <c r="B13" s="332"/>
      <c r="C13" s="99">
        <f>C8/C12</f>
        <v>4.9166666666666664E-3</v>
      </c>
      <c r="D13" s="86"/>
      <c r="E13" s="86"/>
      <c r="F13" s="86"/>
      <c r="J13" s="86"/>
      <c r="K13" s="86"/>
      <c r="O13" s="86"/>
      <c r="P13" s="86"/>
      <c r="Q13" s="86"/>
    </row>
    <row r="14" spans="1:17" x14ac:dyDescent="0.3">
      <c r="A14" s="331" t="s">
        <v>138</v>
      </c>
      <c r="B14" s="331"/>
      <c r="C14" s="62">
        <v>1</v>
      </c>
      <c r="D14" s="86"/>
      <c r="E14" s="86"/>
      <c r="F14" s="86"/>
      <c r="J14" s="86"/>
      <c r="K14" s="86"/>
      <c r="O14" s="86"/>
      <c r="P14" s="86"/>
      <c r="Q14" s="86"/>
    </row>
    <row r="15" spans="1:17" x14ac:dyDescent="0.3">
      <c r="A15" s="331" t="s">
        <v>138</v>
      </c>
      <c r="B15" s="331"/>
      <c r="C15" s="62">
        <v>1</v>
      </c>
      <c r="D15" s="86"/>
      <c r="E15" s="86"/>
      <c r="F15" s="86"/>
      <c r="J15" s="86"/>
      <c r="K15" s="86"/>
      <c r="O15" s="86"/>
      <c r="P15" s="86"/>
      <c r="Q15" s="86"/>
    </row>
    <row r="16" spans="1:17" x14ac:dyDescent="0.3">
      <c r="J16" s="86"/>
      <c r="K16" s="86"/>
    </row>
    <row r="17" spans="1:13" x14ac:dyDescent="0.3">
      <c r="A17" s="310" t="s">
        <v>824</v>
      </c>
      <c r="B17" s="310"/>
      <c r="C17" s="310"/>
      <c r="D17" s="310"/>
      <c r="E17" s="310"/>
      <c r="H17" s="328" t="s">
        <v>829</v>
      </c>
      <c r="I17" s="329"/>
      <c r="J17" s="329"/>
      <c r="K17" s="329"/>
      <c r="L17" s="329"/>
      <c r="M17" s="330"/>
    </row>
    <row r="18" spans="1:13" ht="15" thickBot="1" x14ac:dyDescent="0.35">
      <c r="A18" s="145" t="s">
        <v>333</v>
      </c>
      <c r="B18" s="146" t="s">
        <v>825</v>
      </c>
      <c r="C18" s="146" t="s">
        <v>826</v>
      </c>
      <c r="D18" s="146" t="s">
        <v>827</v>
      </c>
      <c r="E18" s="147" t="s">
        <v>828</v>
      </c>
      <c r="H18" s="158" t="s">
        <v>334</v>
      </c>
      <c r="I18" s="159" t="s">
        <v>335</v>
      </c>
      <c r="J18" s="159" t="s">
        <v>336</v>
      </c>
      <c r="K18" s="159" t="s">
        <v>337</v>
      </c>
      <c r="L18" s="159" t="s">
        <v>338</v>
      </c>
      <c r="M18" s="160" t="s">
        <v>339</v>
      </c>
    </row>
    <row r="19" spans="1:13" x14ac:dyDescent="0.3">
      <c r="A19" s="148">
        <v>0</v>
      </c>
      <c r="B19" s="149" t="str">
        <f>J21</f>
        <v>58,30 €</v>
      </c>
      <c r="C19" s="150"/>
      <c r="D19" s="150">
        <v>7.48</v>
      </c>
      <c r="E19" s="151">
        <v>35570</v>
      </c>
      <c r="H19" s="161"/>
      <c r="I19" s="144"/>
      <c r="J19" s="144"/>
      <c r="K19" s="144"/>
      <c r="L19" s="144"/>
      <c r="M19" s="162"/>
    </row>
    <row r="20" spans="1:13" x14ac:dyDescent="0.3">
      <c r="A20" s="143">
        <v>1</v>
      </c>
      <c r="B20" s="152">
        <f>$C$6</f>
        <v>393.11604782123379</v>
      </c>
      <c r="C20" s="152">
        <f>E19*$C$13</f>
        <v>174.88583333333332</v>
      </c>
      <c r="D20" s="152">
        <f>B20-C20</f>
        <v>218.23021448790047</v>
      </c>
      <c r="E20" s="153">
        <f>E19-D20</f>
        <v>35351.7697855121</v>
      </c>
      <c r="H20" s="163">
        <v>0</v>
      </c>
      <c r="I20" s="164" t="s">
        <v>340</v>
      </c>
      <c r="J20" s="165" t="s">
        <v>341</v>
      </c>
      <c r="K20" s="165" t="s">
        <v>341</v>
      </c>
      <c r="L20" s="165" t="s">
        <v>341</v>
      </c>
      <c r="M20" s="166" t="s">
        <v>342</v>
      </c>
    </row>
    <row r="21" spans="1:13" x14ac:dyDescent="0.3">
      <c r="A21" s="148">
        <v>2</v>
      </c>
      <c r="B21" s="154">
        <f t="shared" ref="B21:B84" si="1">$C$6</f>
        <v>393.11604782123379</v>
      </c>
      <c r="C21" s="154">
        <f t="shared" ref="C21:C26" si="2">E20*$C$13</f>
        <v>173.81286811210114</v>
      </c>
      <c r="D21" s="150">
        <f t="shared" ref="D21:D26" si="3">B21-C21</f>
        <v>219.30317970913265</v>
      </c>
      <c r="E21" s="151">
        <f t="shared" ref="E21:E26" si="4">E20-D21</f>
        <v>35132.466605802969</v>
      </c>
      <c r="H21" s="167">
        <v>1</v>
      </c>
      <c r="I21" s="168" t="s">
        <v>343</v>
      </c>
      <c r="J21" s="169" t="s">
        <v>344</v>
      </c>
      <c r="K21" s="169" t="s">
        <v>341</v>
      </c>
      <c r="L21" s="169" t="s">
        <v>344</v>
      </c>
      <c r="M21" s="170" t="s">
        <v>342</v>
      </c>
    </row>
    <row r="22" spans="1:13" x14ac:dyDescent="0.3">
      <c r="A22" s="143">
        <v>3</v>
      </c>
      <c r="B22" s="152">
        <f t="shared" si="1"/>
        <v>393.11604782123379</v>
      </c>
      <c r="C22" s="152">
        <f t="shared" si="2"/>
        <v>172.73462747853125</v>
      </c>
      <c r="D22" s="152">
        <f t="shared" si="3"/>
        <v>220.38142034270254</v>
      </c>
      <c r="E22" s="153">
        <f t="shared" si="4"/>
        <v>34912.085185460266</v>
      </c>
      <c r="H22" s="163">
        <v>2</v>
      </c>
      <c r="I22" s="164" t="s">
        <v>345</v>
      </c>
      <c r="J22" s="165" t="s">
        <v>346</v>
      </c>
      <c r="K22" s="165" t="s">
        <v>347</v>
      </c>
      <c r="L22" s="165" t="s">
        <v>348</v>
      </c>
      <c r="M22" s="166" t="s">
        <v>349</v>
      </c>
    </row>
    <row r="23" spans="1:13" x14ac:dyDescent="0.3">
      <c r="A23" s="148">
        <v>4</v>
      </c>
      <c r="B23" s="154">
        <f t="shared" si="1"/>
        <v>393.11604782123379</v>
      </c>
      <c r="C23" s="154">
        <f>E22*$C$13</f>
        <v>171.65108549517964</v>
      </c>
      <c r="D23" s="150">
        <f t="shared" si="3"/>
        <v>221.46496232605415</v>
      </c>
      <c r="E23" s="151">
        <f t="shared" si="4"/>
        <v>34690.62022313421</v>
      </c>
      <c r="H23" s="167">
        <v>3</v>
      </c>
      <c r="I23" s="168" t="s">
        <v>350</v>
      </c>
      <c r="J23" s="169" t="s">
        <v>346</v>
      </c>
      <c r="K23" s="169" t="s">
        <v>351</v>
      </c>
      <c r="L23" s="169" t="s">
        <v>352</v>
      </c>
      <c r="M23" s="170" t="s">
        <v>353</v>
      </c>
    </row>
    <row r="24" spans="1:13" x14ac:dyDescent="0.3">
      <c r="A24" s="143">
        <v>5</v>
      </c>
      <c r="B24" s="152">
        <f t="shared" si="1"/>
        <v>393.11604782123379</v>
      </c>
      <c r="C24" s="152">
        <f t="shared" si="2"/>
        <v>170.56221609707652</v>
      </c>
      <c r="D24" s="152">
        <f t="shared" si="3"/>
        <v>222.55383172415728</v>
      </c>
      <c r="E24" s="153">
        <f t="shared" si="4"/>
        <v>34468.066391410051</v>
      </c>
      <c r="H24" s="163">
        <v>4</v>
      </c>
      <c r="I24" s="164" t="s">
        <v>354</v>
      </c>
      <c r="J24" s="165" t="s">
        <v>346</v>
      </c>
      <c r="K24" s="165" t="s">
        <v>355</v>
      </c>
      <c r="L24" s="165" t="s">
        <v>356</v>
      </c>
      <c r="M24" s="166" t="s">
        <v>357</v>
      </c>
    </row>
    <row r="25" spans="1:13" x14ac:dyDescent="0.3">
      <c r="A25" s="148">
        <v>6</v>
      </c>
      <c r="B25" s="154">
        <f t="shared" si="1"/>
        <v>393.11604782123379</v>
      </c>
      <c r="C25" s="154">
        <f t="shared" si="2"/>
        <v>169.4679930910994</v>
      </c>
      <c r="D25" s="150">
        <f t="shared" si="3"/>
        <v>223.64805473013439</v>
      </c>
      <c r="E25" s="151">
        <f t="shared" si="4"/>
        <v>34244.418336679919</v>
      </c>
      <c r="H25" s="167">
        <v>5</v>
      </c>
      <c r="I25" s="168" t="s">
        <v>358</v>
      </c>
      <c r="J25" s="169" t="s">
        <v>346</v>
      </c>
      <c r="K25" s="169" t="s">
        <v>359</v>
      </c>
      <c r="L25" s="169" t="s">
        <v>360</v>
      </c>
      <c r="M25" s="170" t="s">
        <v>361</v>
      </c>
    </row>
    <row r="26" spans="1:13" x14ac:dyDescent="0.3">
      <c r="A26" s="143">
        <v>7</v>
      </c>
      <c r="B26" s="152">
        <f t="shared" si="1"/>
        <v>393.11604782123379</v>
      </c>
      <c r="C26" s="152">
        <f t="shared" si="2"/>
        <v>168.36839015534292</v>
      </c>
      <c r="D26" s="152">
        <f t="shared" si="3"/>
        <v>224.74765766589087</v>
      </c>
      <c r="E26" s="153">
        <f t="shared" si="4"/>
        <v>34019.670679014031</v>
      </c>
      <c r="H26" s="163">
        <v>6</v>
      </c>
      <c r="I26" s="164" t="s">
        <v>362</v>
      </c>
      <c r="J26" s="165" t="s">
        <v>346</v>
      </c>
      <c r="K26" s="165" t="s">
        <v>363</v>
      </c>
      <c r="L26" s="165" t="s">
        <v>364</v>
      </c>
      <c r="M26" s="166" t="s">
        <v>365</v>
      </c>
    </row>
    <row r="27" spans="1:13" x14ac:dyDescent="0.3">
      <c r="A27" s="148">
        <v>8</v>
      </c>
      <c r="B27" s="154">
        <f t="shared" si="1"/>
        <v>393.11604782123379</v>
      </c>
      <c r="C27" s="154">
        <f t="shared" ref="C27:C90" si="5">E26*$C$13</f>
        <v>167.26338083848563</v>
      </c>
      <c r="D27" s="150">
        <f t="shared" ref="D27:D90" si="6">B27-C27</f>
        <v>225.85266698274816</v>
      </c>
      <c r="E27" s="151">
        <f t="shared" ref="E27:E90" si="7">E26-D27</f>
        <v>33793.818012031283</v>
      </c>
      <c r="H27" s="167">
        <v>7</v>
      </c>
      <c r="I27" s="168" t="s">
        <v>366</v>
      </c>
      <c r="J27" s="169" t="s">
        <v>346</v>
      </c>
      <c r="K27" s="169" t="s">
        <v>367</v>
      </c>
      <c r="L27" s="169" t="s">
        <v>368</v>
      </c>
      <c r="M27" s="170" t="s">
        <v>369</v>
      </c>
    </row>
    <row r="28" spans="1:13" x14ac:dyDescent="0.3">
      <c r="A28" s="143">
        <v>9</v>
      </c>
      <c r="B28" s="152">
        <f t="shared" si="1"/>
        <v>393.11604782123379</v>
      </c>
      <c r="C28" s="152">
        <f t="shared" si="5"/>
        <v>166.1529385591538</v>
      </c>
      <c r="D28" s="152">
        <f t="shared" si="6"/>
        <v>226.96310926208</v>
      </c>
      <c r="E28" s="153">
        <f t="shared" si="7"/>
        <v>33566.854902769206</v>
      </c>
      <c r="H28" s="163">
        <v>8</v>
      </c>
      <c r="I28" s="164" t="s">
        <v>370</v>
      </c>
      <c r="J28" s="165" t="s">
        <v>346</v>
      </c>
      <c r="K28" s="165" t="s">
        <v>371</v>
      </c>
      <c r="L28" s="165" t="s">
        <v>372</v>
      </c>
      <c r="M28" s="166" t="s">
        <v>373</v>
      </c>
    </row>
    <row r="29" spans="1:13" x14ac:dyDescent="0.3">
      <c r="A29" s="148">
        <v>10</v>
      </c>
      <c r="B29" s="154">
        <f t="shared" si="1"/>
        <v>393.11604782123379</v>
      </c>
      <c r="C29" s="154">
        <f t="shared" si="5"/>
        <v>165.03703660528191</v>
      </c>
      <c r="D29" s="150">
        <f t="shared" si="6"/>
        <v>228.07901121595188</v>
      </c>
      <c r="E29" s="151">
        <f t="shared" si="7"/>
        <v>33338.775891553254</v>
      </c>
      <c r="H29" s="167">
        <v>9</v>
      </c>
      <c r="I29" s="168" t="s">
        <v>374</v>
      </c>
      <c r="J29" s="169" t="s">
        <v>346</v>
      </c>
      <c r="K29" s="169" t="s">
        <v>375</v>
      </c>
      <c r="L29" s="169" t="s">
        <v>376</v>
      </c>
      <c r="M29" s="170" t="s">
        <v>377</v>
      </c>
    </row>
    <row r="30" spans="1:13" x14ac:dyDescent="0.3">
      <c r="A30" s="143">
        <v>11</v>
      </c>
      <c r="B30" s="152">
        <f t="shared" si="1"/>
        <v>393.11604782123379</v>
      </c>
      <c r="C30" s="152">
        <f t="shared" si="5"/>
        <v>163.91564813347017</v>
      </c>
      <c r="D30" s="152">
        <f t="shared" si="6"/>
        <v>229.20039968776362</v>
      </c>
      <c r="E30" s="153">
        <f t="shared" si="7"/>
        <v>33109.575491865493</v>
      </c>
      <c r="H30" s="163">
        <v>10</v>
      </c>
      <c r="I30" s="164" t="s">
        <v>378</v>
      </c>
      <c r="J30" s="165" t="s">
        <v>346</v>
      </c>
      <c r="K30" s="165" t="s">
        <v>379</v>
      </c>
      <c r="L30" s="165" t="s">
        <v>380</v>
      </c>
      <c r="M30" s="166" t="s">
        <v>381</v>
      </c>
    </row>
    <row r="31" spans="1:13" x14ac:dyDescent="0.3">
      <c r="A31" s="148">
        <v>12</v>
      </c>
      <c r="B31" s="154">
        <f t="shared" si="1"/>
        <v>393.11604782123379</v>
      </c>
      <c r="C31" s="154">
        <f t="shared" si="5"/>
        <v>162.78874616833866</v>
      </c>
      <c r="D31" s="150">
        <f t="shared" si="6"/>
        <v>230.32730165289513</v>
      </c>
      <c r="E31" s="151">
        <f t="shared" si="7"/>
        <v>32879.248190212595</v>
      </c>
      <c r="H31" s="167">
        <v>11</v>
      </c>
      <c r="I31" s="168" t="s">
        <v>382</v>
      </c>
      <c r="J31" s="169" t="s">
        <v>346</v>
      </c>
      <c r="K31" s="169" t="s">
        <v>383</v>
      </c>
      <c r="L31" s="169" t="s">
        <v>384</v>
      </c>
      <c r="M31" s="170" t="s">
        <v>385</v>
      </c>
    </row>
    <row r="32" spans="1:13" x14ac:dyDescent="0.3">
      <c r="A32" s="143">
        <v>13</v>
      </c>
      <c r="B32" s="152">
        <f t="shared" si="1"/>
        <v>393.11604782123379</v>
      </c>
      <c r="C32" s="152">
        <f t="shared" si="5"/>
        <v>161.65630360187859</v>
      </c>
      <c r="D32" s="152">
        <f t="shared" si="6"/>
        <v>231.4597442193552</v>
      </c>
      <c r="E32" s="153">
        <f t="shared" si="7"/>
        <v>32647.788445993239</v>
      </c>
      <c r="H32" s="163">
        <v>12</v>
      </c>
      <c r="I32" s="164" t="s">
        <v>386</v>
      </c>
      <c r="J32" s="165" t="s">
        <v>346</v>
      </c>
      <c r="K32" s="165" t="s">
        <v>387</v>
      </c>
      <c r="L32" s="165" t="s">
        <v>388</v>
      </c>
      <c r="M32" s="166" t="s">
        <v>389</v>
      </c>
    </row>
    <row r="33" spans="1:13" x14ac:dyDescent="0.3">
      <c r="A33" s="148">
        <v>14</v>
      </c>
      <c r="B33" s="154">
        <f t="shared" si="1"/>
        <v>393.11604782123379</v>
      </c>
      <c r="C33" s="154">
        <f t="shared" si="5"/>
        <v>160.51829319280009</v>
      </c>
      <c r="D33" s="150">
        <f t="shared" si="6"/>
        <v>232.59775462843371</v>
      </c>
      <c r="E33" s="151">
        <f t="shared" si="7"/>
        <v>32415.190691364805</v>
      </c>
      <c r="H33" s="167">
        <v>13</v>
      </c>
      <c r="I33" s="168" t="s">
        <v>390</v>
      </c>
      <c r="J33" s="169" t="s">
        <v>346</v>
      </c>
      <c r="K33" s="169" t="s">
        <v>391</v>
      </c>
      <c r="L33" s="169" t="s">
        <v>392</v>
      </c>
      <c r="M33" s="170" t="s">
        <v>393</v>
      </c>
    </row>
    <row r="34" spans="1:13" x14ac:dyDescent="0.3">
      <c r="A34" s="143">
        <v>15</v>
      </c>
      <c r="B34" s="152">
        <f t="shared" si="1"/>
        <v>393.11604782123379</v>
      </c>
      <c r="C34" s="152">
        <f t="shared" si="5"/>
        <v>159.37468756587694</v>
      </c>
      <c r="D34" s="152">
        <f t="shared" si="6"/>
        <v>233.74136025535685</v>
      </c>
      <c r="E34" s="153">
        <f t="shared" si="7"/>
        <v>32181.449331109448</v>
      </c>
      <c r="H34" s="163">
        <v>14</v>
      </c>
      <c r="I34" s="164" t="s">
        <v>394</v>
      </c>
      <c r="J34" s="165" t="s">
        <v>346</v>
      </c>
      <c r="K34" s="165" t="s">
        <v>395</v>
      </c>
      <c r="L34" s="165" t="s">
        <v>396</v>
      </c>
      <c r="M34" s="166" t="s">
        <v>397</v>
      </c>
    </row>
    <row r="35" spans="1:13" x14ac:dyDescent="0.3">
      <c r="A35" s="148">
        <v>16</v>
      </c>
      <c r="B35" s="154">
        <f t="shared" si="1"/>
        <v>393.11604782123379</v>
      </c>
      <c r="C35" s="154">
        <f t="shared" si="5"/>
        <v>158.22545921128813</v>
      </c>
      <c r="D35" s="150">
        <f t="shared" si="6"/>
        <v>234.89058860994567</v>
      </c>
      <c r="E35" s="151">
        <f t="shared" si="7"/>
        <v>31946.558742499503</v>
      </c>
      <c r="H35" s="167">
        <v>15</v>
      </c>
      <c r="I35" s="168" t="s">
        <v>398</v>
      </c>
      <c r="J35" s="169" t="s">
        <v>346</v>
      </c>
      <c r="K35" s="169" t="s">
        <v>399</v>
      </c>
      <c r="L35" s="169" t="s">
        <v>400</v>
      </c>
      <c r="M35" s="170" t="s">
        <v>401</v>
      </c>
    </row>
    <row r="36" spans="1:13" x14ac:dyDescent="0.3">
      <c r="A36" s="143">
        <v>17</v>
      </c>
      <c r="B36" s="152">
        <f t="shared" si="1"/>
        <v>393.11604782123379</v>
      </c>
      <c r="C36" s="152">
        <f t="shared" si="5"/>
        <v>157.07058048395589</v>
      </c>
      <c r="D36" s="152">
        <f t="shared" si="6"/>
        <v>236.0454673372779</v>
      </c>
      <c r="E36" s="153">
        <f t="shared" si="7"/>
        <v>31710.513275162226</v>
      </c>
      <c r="H36" s="163">
        <v>16</v>
      </c>
      <c r="I36" s="164" t="s">
        <v>402</v>
      </c>
      <c r="J36" s="165" t="s">
        <v>346</v>
      </c>
      <c r="K36" s="165" t="s">
        <v>403</v>
      </c>
      <c r="L36" s="165" t="s">
        <v>404</v>
      </c>
      <c r="M36" s="166" t="s">
        <v>405</v>
      </c>
    </row>
    <row r="37" spans="1:13" x14ac:dyDescent="0.3">
      <c r="A37" s="148">
        <v>18</v>
      </c>
      <c r="B37" s="154">
        <f t="shared" si="1"/>
        <v>393.11604782123379</v>
      </c>
      <c r="C37" s="154">
        <f t="shared" si="5"/>
        <v>155.91002360288093</v>
      </c>
      <c r="D37" s="150">
        <f t="shared" si="6"/>
        <v>237.20602421835287</v>
      </c>
      <c r="E37" s="151">
        <f t="shared" si="7"/>
        <v>31473.307250943872</v>
      </c>
      <c r="H37" s="167">
        <v>17</v>
      </c>
      <c r="I37" s="168" t="s">
        <v>406</v>
      </c>
      <c r="J37" s="169" t="s">
        <v>346</v>
      </c>
      <c r="K37" s="169" t="s">
        <v>407</v>
      </c>
      <c r="L37" s="169" t="s">
        <v>408</v>
      </c>
      <c r="M37" s="170" t="s">
        <v>409</v>
      </c>
    </row>
    <row r="38" spans="1:13" x14ac:dyDescent="0.3">
      <c r="A38" s="143">
        <v>19</v>
      </c>
      <c r="B38" s="152">
        <f t="shared" si="1"/>
        <v>393.11604782123379</v>
      </c>
      <c r="C38" s="152">
        <f t="shared" si="5"/>
        <v>154.74376065047403</v>
      </c>
      <c r="D38" s="152">
        <f t="shared" si="6"/>
        <v>238.37228717075976</v>
      </c>
      <c r="E38" s="153">
        <f t="shared" si="7"/>
        <v>31234.93496377311</v>
      </c>
      <c r="H38" s="163">
        <v>18</v>
      </c>
      <c r="I38" s="164" t="s">
        <v>410</v>
      </c>
      <c r="J38" s="165" t="s">
        <v>346</v>
      </c>
      <c r="K38" s="165" t="s">
        <v>411</v>
      </c>
      <c r="L38" s="165" t="s">
        <v>412</v>
      </c>
      <c r="M38" s="166" t="s">
        <v>413</v>
      </c>
    </row>
    <row r="39" spans="1:13" x14ac:dyDescent="0.3">
      <c r="A39" s="148">
        <v>20</v>
      </c>
      <c r="B39" s="154">
        <f t="shared" si="1"/>
        <v>393.11604782123379</v>
      </c>
      <c r="C39" s="154">
        <f t="shared" si="5"/>
        <v>153.57176357188445</v>
      </c>
      <c r="D39" s="150">
        <f t="shared" si="6"/>
        <v>239.54428424934935</v>
      </c>
      <c r="E39" s="151">
        <f t="shared" si="7"/>
        <v>30995.39067952376</v>
      </c>
      <c r="H39" s="167">
        <v>19</v>
      </c>
      <c r="I39" s="168" t="s">
        <v>414</v>
      </c>
      <c r="J39" s="169" t="s">
        <v>346</v>
      </c>
      <c r="K39" s="169" t="s">
        <v>415</v>
      </c>
      <c r="L39" s="169" t="s">
        <v>416</v>
      </c>
      <c r="M39" s="170" t="s">
        <v>417</v>
      </c>
    </row>
    <row r="40" spans="1:13" x14ac:dyDescent="0.3">
      <c r="A40" s="143">
        <v>21</v>
      </c>
      <c r="B40" s="152">
        <f t="shared" si="1"/>
        <v>393.11604782123379</v>
      </c>
      <c r="C40" s="152">
        <f t="shared" si="5"/>
        <v>152.39400417432515</v>
      </c>
      <c r="D40" s="152">
        <f t="shared" si="6"/>
        <v>240.72204364690865</v>
      </c>
      <c r="E40" s="153">
        <f t="shared" si="7"/>
        <v>30754.668635876853</v>
      </c>
      <c r="H40" s="163">
        <v>20</v>
      </c>
      <c r="I40" s="164" t="s">
        <v>418</v>
      </c>
      <c r="J40" s="165" t="s">
        <v>346</v>
      </c>
      <c r="K40" s="165" t="s">
        <v>419</v>
      </c>
      <c r="L40" s="165" t="s">
        <v>420</v>
      </c>
      <c r="M40" s="166" t="s">
        <v>421</v>
      </c>
    </row>
    <row r="41" spans="1:13" x14ac:dyDescent="0.3">
      <c r="A41" s="148">
        <v>22</v>
      </c>
      <c r="B41" s="154">
        <f t="shared" si="1"/>
        <v>393.11604782123379</v>
      </c>
      <c r="C41" s="154">
        <f t="shared" si="5"/>
        <v>151.21045412639452</v>
      </c>
      <c r="D41" s="150">
        <f t="shared" si="6"/>
        <v>241.90559369483927</v>
      </c>
      <c r="E41" s="151">
        <f t="shared" si="7"/>
        <v>30512.763042182014</v>
      </c>
      <c r="H41" s="167">
        <v>21</v>
      </c>
      <c r="I41" s="168" t="s">
        <v>422</v>
      </c>
      <c r="J41" s="169" t="s">
        <v>346</v>
      </c>
      <c r="K41" s="169" t="s">
        <v>423</v>
      </c>
      <c r="L41" s="169" t="s">
        <v>424</v>
      </c>
      <c r="M41" s="170" t="s">
        <v>425</v>
      </c>
    </row>
    <row r="42" spans="1:13" x14ac:dyDescent="0.3">
      <c r="A42" s="143">
        <v>23</v>
      </c>
      <c r="B42" s="152">
        <f t="shared" si="1"/>
        <v>393.11604782123379</v>
      </c>
      <c r="C42" s="152">
        <f t="shared" si="5"/>
        <v>150.02108495739489</v>
      </c>
      <c r="D42" s="152">
        <f t="shared" si="6"/>
        <v>243.0949628638389</v>
      </c>
      <c r="E42" s="153">
        <f t="shared" si="7"/>
        <v>30269.668079318177</v>
      </c>
      <c r="H42" s="163">
        <v>22</v>
      </c>
      <c r="I42" s="164" t="s">
        <v>426</v>
      </c>
      <c r="J42" s="165" t="s">
        <v>346</v>
      </c>
      <c r="K42" s="165" t="s">
        <v>427</v>
      </c>
      <c r="L42" s="165" t="s">
        <v>428</v>
      </c>
      <c r="M42" s="166" t="s">
        <v>429</v>
      </c>
    </row>
    <row r="43" spans="1:13" x14ac:dyDescent="0.3">
      <c r="A43" s="148">
        <v>24</v>
      </c>
      <c r="B43" s="154">
        <f t="shared" si="1"/>
        <v>393.11604782123379</v>
      </c>
      <c r="C43" s="154">
        <f t="shared" si="5"/>
        <v>148.82586805664769</v>
      </c>
      <c r="D43" s="150">
        <f t="shared" si="6"/>
        <v>244.2901797645861</v>
      </c>
      <c r="E43" s="151">
        <f t="shared" si="7"/>
        <v>30025.37789955359</v>
      </c>
      <c r="H43" s="167">
        <v>23</v>
      </c>
      <c r="I43" s="168" t="s">
        <v>430</v>
      </c>
      <c r="J43" s="169" t="s">
        <v>346</v>
      </c>
      <c r="K43" s="169" t="s">
        <v>431</v>
      </c>
      <c r="L43" s="169" t="s">
        <v>432</v>
      </c>
      <c r="M43" s="170" t="s">
        <v>433</v>
      </c>
    </row>
    <row r="44" spans="1:13" x14ac:dyDescent="0.3">
      <c r="A44" s="143">
        <v>25</v>
      </c>
      <c r="B44" s="152">
        <f t="shared" si="1"/>
        <v>393.11604782123379</v>
      </c>
      <c r="C44" s="152">
        <f t="shared" si="5"/>
        <v>147.62477467280513</v>
      </c>
      <c r="D44" s="152">
        <f t="shared" si="6"/>
        <v>245.49127314842866</v>
      </c>
      <c r="E44" s="153">
        <f t="shared" si="7"/>
        <v>29779.886626405161</v>
      </c>
      <c r="H44" s="163">
        <v>24</v>
      </c>
      <c r="I44" s="164" t="s">
        <v>434</v>
      </c>
      <c r="J44" s="165" t="s">
        <v>346</v>
      </c>
      <c r="K44" s="165" t="s">
        <v>435</v>
      </c>
      <c r="L44" s="165" t="s">
        <v>436</v>
      </c>
      <c r="M44" s="166" t="s">
        <v>437</v>
      </c>
    </row>
    <row r="45" spans="1:13" x14ac:dyDescent="0.3">
      <c r="A45" s="148">
        <v>26</v>
      </c>
      <c r="B45" s="154">
        <f t="shared" si="1"/>
        <v>393.11604782123379</v>
      </c>
      <c r="C45" s="154">
        <f t="shared" si="5"/>
        <v>146.41777591315869</v>
      </c>
      <c r="D45" s="150">
        <f t="shared" si="6"/>
        <v>246.6982719080751</v>
      </c>
      <c r="E45" s="151">
        <f t="shared" si="7"/>
        <v>29533.188354497088</v>
      </c>
      <c r="H45" s="167">
        <v>25</v>
      </c>
      <c r="I45" s="168" t="s">
        <v>438</v>
      </c>
      <c r="J45" s="169" t="s">
        <v>346</v>
      </c>
      <c r="K45" s="169" t="s">
        <v>439</v>
      </c>
      <c r="L45" s="169" t="s">
        <v>440</v>
      </c>
      <c r="M45" s="170" t="s">
        <v>441</v>
      </c>
    </row>
    <row r="46" spans="1:13" x14ac:dyDescent="0.3">
      <c r="A46" s="143">
        <v>27</v>
      </c>
      <c r="B46" s="152">
        <f t="shared" si="1"/>
        <v>393.11604782123379</v>
      </c>
      <c r="C46" s="152">
        <f t="shared" si="5"/>
        <v>145.20484274294401</v>
      </c>
      <c r="D46" s="152">
        <f t="shared" si="6"/>
        <v>247.91120507828978</v>
      </c>
      <c r="E46" s="153">
        <f t="shared" si="7"/>
        <v>29285.277149418798</v>
      </c>
      <c r="H46" s="163">
        <v>26</v>
      </c>
      <c r="I46" s="164" t="s">
        <v>442</v>
      </c>
      <c r="J46" s="165" t="s">
        <v>346</v>
      </c>
      <c r="K46" s="165" t="s">
        <v>443</v>
      </c>
      <c r="L46" s="165" t="s">
        <v>444</v>
      </c>
      <c r="M46" s="166" t="s">
        <v>445</v>
      </c>
    </row>
    <row r="47" spans="1:13" x14ac:dyDescent="0.3">
      <c r="A47" s="148">
        <v>28</v>
      </c>
      <c r="B47" s="154">
        <f t="shared" si="1"/>
        <v>393.11604782123379</v>
      </c>
      <c r="C47" s="154">
        <f t="shared" si="5"/>
        <v>143.98594598464243</v>
      </c>
      <c r="D47" s="150">
        <f t="shared" si="6"/>
        <v>249.13010183659136</v>
      </c>
      <c r="E47" s="151">
        <f t="shared" si="7"/>
        <v>29036.147047582206</v>
      </c>
      <c r="H47" s="167">
        <v>27</v>
      </c>
      <c r="I47" s="168" t="s">
        <v>446</v>
      </c>
      <c r="J47" s="169" t="s">
        <v>346</v>
      </c>
      <c r="K47" s="169" t="s">
        <v>447</v>
      </c>
      <c r="L47" s="169" t="s">
        <v>448</v>
      </c>
      <c r="M47" s="170" t="s">
        <v>449</v>
      </c>
    </row>
    <row r="48" spans="1:13" x14ac:dyDescent="0.3">
      <c r="A48" s="143">
        <v>29</v>
      </c>
      <c r="B48" s="152">
        <f t="shared" si="1"/>
        <v>393.11604782123379</v>
      </c>
      <c r="C48" s="152">
        <f t="shared" si="5"/>
        <v>142.76105631727918</v>
      </c>
      <c r="D48" s="152">
        <f t="shared" si="6"/>
        <v>250.35499150395461</v>
      </c>
      <c r="E48" s="153">
        <f t="shared" si="7"/>
        <v>28785.792056078251</v>
      </c>
      <c r="H48" s="163">
        <v>28</v>
      </c>
      <c r="I48" s="164" t="s">
        <v>450</v>
      </c>
      <c r="J48" s="165" t="s">
        <v>346</v>
      </c>
      <c r="K48" s="165" t="s">
        <v>451</v>
      </c>
      <c r="L48" s="165" t="s">
        <v>452</v>
      </c>
      <c r="M48" s="166" t="s">
        <v>453</v>
      </c>
    </row>
    <row r="49" spans="1:13" x14ac:dyDescent="0.3">
      <c r="A49" s="148">
        <v>30</v>
      </c>
      <c r="B49" s="154">
        <f t="shared" si="1"/>
        <v>393.11604782123379</v>
      </c>
      <c r="C49" s="154">
        <f t="shared" si="5"/>
        <v>141.53014427571807</v>
      </c>
      <c r="D49" s="150">
        <f t="shared" si="6"/>
        <v>251.58590354551572</v>
      </c>
      <c r="E49" s="151">
        <f t="shared" si="7"/>
        <v>28534.206152532737</v>
      </c>
      <c r="H49" s="167">
        <v>29</v>
      </c>
      <c r="I49" s="168" t="s">
        <v>454</v>
      </c>
      <c r="J49" s="169" t="s">
        <v>346</v>
      </c>
      <c r="K49" s="169" t="s">
        <v>455</v>
      </c>
      <c r="L49" s="169" t="s">
        <v>456</v>
      </c>
      <c r="M49" s="170" t="s">
        <v>457</v>
      </c>
    </row>
    <row r="50" spans="1:13" x14ac:dyDescent="0.3">
      <c r="A50" s="143">
        <v>31</v>
      </c>
      <c r="B50" s="152">
        <f t="shared" si="1"/>
        <v>393.11604782123379</v>
      </c>
      <c r="C50" s="152">
        <f t="shared" si="5"/>
        <v>140.29318024995263</v>
      </c>
      <c r="D50" s="152">
        <f t="shared" si="6"/>
        <v>252.82286757128117</v>
      </c>
      <c r="E50" s="153">
        <f t="shared" si="7"/>
        <v>28281.383284961456</v>
      </c>
      <c r="H50" s="163">
        <v>30</v>
      </c>
      <c r="I50" s="164" t="s">
        <v>458</v>
      </c>
      <c r="J50" s="165" t="s">
        <v>346</v>
      </c>
      <c r="K50" s="165" t="s">
        <v>459</v>
      </c>
      <c r="L50" s="165" t="s">
        <v>460</v>
      </c>
      <c r="M50" s="166" t="s">
        <v>461</v>
      </c>
    </row>
    <row r="51" spans="1:13" x14ac:dyDescent="0.3">
      <c r="A51" s="148">
        <v>32</v>
      </c>
      <c r="B51" s="154">
        <f t="shared" si="1"/>
        <v>393.11604782123379</v>
      </c>
      <c r="C51" s="154">
        <f t="shared" si="5"/>
        <v>139.05013448439382</v>
      </c>
      <c r="D51" s="150">
        <f t="shared" si="6"/>
        <v>254.06591333683997</v>
      </c>
      <c r="E51" s="151">
        <f t="shared" si="7"/>
        <v>28027.317371624616</v>
      </c>
      <c r="H51" s="167">
        <v>31</v>
      </c>
      <c r="I51" s="168" t="s">
        <v>462</v>
      </c>
      <c r="J51" s="169" t="s">
        <v>346</v>
      </c>
      <c r="K51" s="169" t="s">
        <v>463</v>
      </c>
      <c r="L51" s="169" t="s">
        <v>464</v>
      </c>
      <c r="M51" s="170" t="s">
        <v>465</v>
      </c>
    </row>
    <row r="52" spans="1:13" x14ac:dyDescent="0.3">
      <c r="A52" s="143">
        <v>33</v>
      </c>
      <c r="B52" s="152">
        <f t="shared" si="1"/>
        <v>393.11604782123379</v>
      </c>
      <c r="C52" s="152">
        <f t="shared" si="5"/>
        <v>137.80097707715436</v>
      </c>
      <c r="D52" s="152">
        <f t="shared" si="6"/>
        <v>255.31507074407943</v>
      </c>
      <c r="E52" s="153">
        <f t="shared" si="7"/>
        <v>27772.002300880536</v>
      </c>
      <c r="H52" s="163">
        <v>32</v>
      </c>
      <c r="I52" s="164" t="s">
        <v>466</v>
      </c>
      <c r="J52" s="165" t="s">
        <v>346</v>
      </c>
      <c r="K52" s="165" t="s">
        <v>467</v>
      </c>
      <c r="L52" s="165" t="s">
        <v>468</v>
      </c>
      <c r="M52" s="166" t="s">
        <v>469</v>
      </c>
    </row>
    <row r="53" spans="1:13" x14ac:dyDescent="0.3">
      <c r="A53" s="148">
        <v>34</v>
      </c>
      <c r="B53" s="154">
        <f t="shared" si="1"/>
        <v>393.11604782123379</v>
      </c>
      <c r="C53" s="154">
        <f t="shared" si="5"/>
        <v>136.5456779793293</v>
      </c>
      <c r="D53" s="150">
        <f t="shared" si="6"/>
        <v>256.57036984190449</v>
      </c>
      <c r="E53" s="151">
        <f t="shared" si="7"/>
        <v>27515.431931038631</v>
      </c>
      <c r="H53" s="167">
        <v>33</v>
      </c>
      <c r="I53" s="168" t="s">
        <v>470</v>
      </c>
      <c r="J53" s="169" t="s">
        <v>346</v>
      </c>
      <c r="K53" s="169" t="s">
        <v>471</v>
      </c>
      <c r="L53" s="169" t="s">
        <v>472</v>
      </c>
      <c r="M53" s="170" t="s">
        <v>473</v>
      </c>
    </row>
    <row r="54" spans="1:13" x14ac:dyDescent="0.3">
      <c r="A54" s="143">
        <v>35</v>
      </c>
      <c r="B54" s="152">
        <f t="shared" si="1"/>
        <v>393.11604782123379</v>
      </c>
      <c r="C54" s="152">
        <f t="shared" si="5"/>
        <v>135.28420699427326</v>
      </c>
      <c r="D54" s="152">
        <f t="shared" si="6"/>
        <v>257.8318408269605</v>
      </c>
      <c r="E54" s="153">
        <f t="shared" si="7"/>
        <v>27257.600090211672</v>
      </c>
      <c r="H54" s="163">
        <v>34</v>
      </c>
      <c r="I54" s="164" t="s">
        <v>474</v>
      </c>
      <c r="J54" s="165" t="s">
        <v>346</v>
      </c>
      <c r="K54" s="165" t="s">
        <v>475</v>
      </c>
      <c r="L54" s="165" t="s">
        <v>476</v>
      </c>
      <c r="M54" s="166" t="s">
        <v>477</v>
      </c>
    </row>
    <row r="55" spans="1:13" x14ac:dyDescent="0.3">
      <c r="A55" s="148">
        <v>36</v>
      </c>
      <c r="B55" s="154">
        <f t="shared" si="1"/>
        <v>393.11604782123379</v>
      </c>
      <c r="C55" s="154">
        <f t="shared" si="5"/>
        <v>134.01653377687404</v>
      </c>
      <c r="D55" s="150">
        <f t="shared" si="6"/>
        <v>259.09951404435975</v>
      </c>
      <c r="E55" s="151">
        <f t="shared" si="7"/>
        <v>26998.500576167313</v>
      </c>
      <c r="H55" s="167">
        <v>35</v>
      </c>
      <c r="I55" s="168" t="s">
        <v>478</v>
      </c>
      <c r="J55" s="169" t="s">
        <v>346</v>
      </c>
      <c r="K55" s="169" t="s">
        <v>479</v>
      </c>
      <c r="L55" s="169" t="s">
        <v>480</v>
      </c>
      <c r="M55" s="170" t="s">
        <v>481</v>
      </c>
    </row>
    <row r="56" spans="1:13" x14ac:dyDescent="0.3">
      <c r="A56" s="143">
        <v>37</v>
      </c>
      <c r="B56" s="152">
        <f t="shared" si="1"/>
        <v>393.11604782123379</v>
      </c>
      <c r="C56" s="152">
        <f t="shared" si="5"/>
        <v>132.74262783282262</v>
      </c>
      <c r="D56" s="152">
        <f t="shared" si="6"/>
        <v>260.37341998841117</v>
      </c>
      <c r="E56" s="153">
        <f t="shared" si="7"/>
        <v>26738.1271561789</v>
      </c>
      <c r="H56" s="163">
        <v>36</v>
      </c>
      <c r="I56" s="164" t="s">
        <v>482</v>
      </c>
      <c r="J56" s="165" t="s">
        <v>346</v>
      </c>
      <c r="K56" s="165" t="s">
        <v>483</v>
      </c>
      <c r="L56" s="165" t="s">
        <v>484</v>
      </c>
      <c r="M56" s="166" t="s">
        <v>485</v>
      </c>
    </row>
    <row r="57" spans="1:13" x14ac:dyDescent="0.3">
      <c r="A57" s="148">
        <v>38</v>
      </c>
      <c r="B57" s="154">
        <f t="shared" si="1"/>
        <v>393.11604782123379</v>
      </c>
      <c r="C57" s="154">
        <f t="shared" si="5"/>
        <v>131.46245851787958</v>
      </c>
      <c r="D57" s="150">
        <f t="shared" si="6"/>
        <v>261.65358930335424</v>
      </c>
      <c r="E57" s="151">
        <f t="shared" si="7"/>
        <v>26476.473566875546</v>
      </c>
      <c r="H57" s="167">
        <v>37</v>
      </c>
      <c r="I57" s="168" t="s">
        <v>486</v>
      </c>
      <c r="J57" s="169" t="s">
        <v>346</v>
      </c>
      <c r="K57" s="169" t="s">
        <v>487</v>
      </c>
      <c r="L57" s="169" t="s">
        <v>488</v>
      </c>
      <c r="M57" s="170" t="s">
        <v>489</v>
      </c>
    </row>
    <row r="58" spans="1:13" x14ac:dyDescent="0.3">
      <c r="A58" s="143">
        <v>39</v>
      </c>
      <c r="B58" s="152">
        <f t="shared" si="1"/>
        <v>393.11604782123379</v>
      </c>
      <c r="C58" s="152">
        <f t="shared" si="5"/>
        <v>130.17599503713808</v>
      </c>
      <c r="D58" s="152">
        <f t="shared" si="6"/>
        <v>262.94005278409571</v>
      </c>
      <c r="E58" s="153">
        <f t="shared" si="7"/>
        <v>26213.53351409145</v>
      </c>
      <c r="H58" s="163">
        <v>38</v>
      </c>
      <c r="I58" s="164" t="s">
        <v>490</v>
      </c>
      <c r="J58" s="165" t="s">
        <v>346</v>
      </c>
      <c r="K58" s="165" t="s">
        <v>491</v>
      </c>
      <c r="L58" s="165" t="s">
        <v>492</v>
      </c>
      <c r="M58" s="166" t="s">
        <v>493</v>
      </c>
    </row>
    <row r="59" spans="1:13" x14ac:dyDescent="0.3">
      <c r="A59" s="148">
        <v>40</v>
      </c>
      <c r="B59" s="154">
        <f t="shared" si="1"/>
        <v>393.11604782123379</v>
      </c>
      <c r="C59" s="154">
        <f t="shared" si="5"/>
        <v>128.88320644428296</v>
      </c>
      <c r="D59" s="150">
        <f t="shared" si="6"/>
        <v>264.23284137695083</v>
      </c>
      <c r="E59" s="151">
        <f t="shared" si="7"/>
        <v>25949.3006727145</v>
      </c>
      <c r="H59" s="167">
        <v>39</v>
      </c>
      <c r="I59" s="168" t="s">
        <v>494</v>
      </c>
      <c r="J59" s="169" t="s">
        <v>346</v>
      </c>
      <c r="K59" s="169" t="s">
        <v>495</v>
      </c>
      <c r="L59" s="169" t="s">
        <v>496</v>
      </c>
      <c r="M59" s="170" t="s">
        <v>497</v>
      </c>
    </row>
    <row r="60" spans="1:13" x14ac:dyDescent="0.3">
      <c r="A60" s="143">
        <v>41</v>
      </c>
      <c r="B60" s="152">
        <f t="shared" si="1"/>
        <v>393.11604782123379</v>
      </c>
      <c r="C60" s="152">
        <f t="shared" si="5"/>
        <v>127.58406164084629</v>
      </c>
      <c r="D60" s="152">
        <f t="shared" si="6"/>
        <v>265.53198618038749</v>
      </c>
      <c r="E60" s="153">
        <f t="shared" si="7"/>
        <v>25683.768686534113</v>
      </c>
      <c r="H60" s="163">
        <v>40</v>
      </c>
      <c r="I60" s="164" t="s">
        <v>498</v>
      </c>
      <c r="J60" s="165" t="s">
        <v>346</v>
      </c>
      <c r="K60" s="165" t="s">
        <v>499</v>
      </c>
      <c r="L60" s="165" t="s">
        <v>500</v>
      </c>
      <c r="M60" s="166" t="s">
        <v>501</v>
      </c>
    </row>
    <row r="61" spans="1:13" x14ac:dyDescent="0.3">
      <c r="A61" s="148">
        <v>42</v>
      </c>
      <c r="B61" s="154">
        <f t="shared" si="1"/>
        <v>393.11604782123379</v>
      </c>
      <c r="C61" s="154">
        <f t="shared" si="5"/>
        <v>126.27852937545939</v>
      </c>
      <c r="D61" s="150">
        <f t="shared" si="6"/>
        <v>266.83751844577444</v>
      </c>
      <c r="E61" s="151">
        <f t="shared" si="7"/>
        <v>25416.93116808834</v>
      </c>
      <c r="H61" s="167">
        <v>41</v>
      </c>
      <c r="I61" s="168" t="s">
        <v>502</v>
      </c>
      <c r="J61" s="169" t="s">
        <v>346</v>
      </c>
      <c r="K61" s="169" t="s">
        <v>503</v>
      </c>
      <c r="L61" s="169" t="s">
        <v>504</v>
      </c>
      <c r="M61" s="170" t="s">
        <v>505</v>
      </c>
    </row>
    <row r="62" spans="1:13" x14ac:dyDescent="0.3">
      <c r="A62" s="143">
        <v>43</v>
      </c>
      <c r="B62" s="152">
        <f t="shared" si="1"/>
        <v>393.11604782123379</v>
      </c>
      <c r="C62" s="152">
        <f t="shared" si="5"/>
        <v>124.966578243101</v>
      </c>
      <c r="D62" s="152">
        <f t="shared" si="6"/>
        <v>268.14946957813277</v>
      </c>
      <c r="E62" s="153">
        <f t="shared" si="7"/>
        <v>25148.781698510207</v>
      </c>
      <c r="H62" s="163">
        <v>42</v>
      </c>
      <c r="I62" s="164" t="s">
        <v>506</v>
      </c>
      <c r="J62" s="165" t="s">
        <v>346</v>
      </c>
      <c r="K62" s="165" t="s">
        <v>507</v>
      </c>
      <c r="L62" s="165" t="s">
        <v>508</v>
      </c>
      <c r="M62" s="166" t="s">
        <v>509</v>
      </c>
    </row>
    <row r="63" spans="1:13" x14ac:dyDescent="0.3">
      <c r="A63" s="148">
        <v>44</v>
      </c>
      <c r="B63" s="154">
        <f t="shared" si="1"/>
        <v>393.11604782123379</v>
      </c>
      <c r="C63" s="154">
        <f t="shared" si="5"/>
        <v>123.64817668434185</v>
      </c>
      <c r="D63" s="150">
        <f t="shared" si="6"/>
        <v>269.46787113689197</v>
      </c>
      <c r="E63" s="151">
        <f t="shared" si="7"/>
        <v>24879.313827373317</v>
      </c>
      <c r="H63" s="167">
        <v>43</v>
      </c>
      <c r="I63" s="168" t="s">
        <v>510</v>
      </c>
      <c r="J63" s="169" t="s">
        <v>346</v>
      </c>
      <c r="K63" s="169" t="s">
        <v>511</v>
      </c>
      <c r="L63" s="169" t="s">
        <v>512</v>
      </c>
      <c r="M63" s="170" t="s">
        <v>513</v>
      </c>
    </row>
    <row r="64" spans="1:13" x14ac:dyDescent="0.3">
      <c r="A64" s="143">
        <v>45</v>
      </c>
      <c r="B64" s="152">
        <f t="shared" si="1"/>
        <v>393.11604782123379</v>
      </c>
      <c r="C64" s="152">
        <f t="shared" si="5"/>
        <v>122.32329298458546</v>
      </c>
      <c r="D64" s="152">
        <f t="shared" si="6"/>
        <v>270.79275483664833</v>
      </c>
      <c r="E64" s="153">
        <f t="shared" si="7"/>
        <v>24608.521072536667</v>
      </c>
      <c r="H64" s="163">
        <v>44</v>
      </c>
      <c r="I64" s="164" t="s">
        <v>514</v>
      </c>
      <c r="J64" s="165" t="s">
        <v>346</v>
      </c>
      <c r="K64" s="165" t="s">
        <v>515</v>
      </c>
      <c r="L64" s="165" t="s">
        <v>516</v>
      </c>
      <c r="M64" s="166" t="s">
        <v>517</v>
      </c>
    </row>
    <row r="65" spans="1:13" x14ac:dyDescent="0.3">
      <c r="A65" s="148">
        <v>46</v>
      </c>
      <c r="B65" s="154">
        <f t="shared" si="1"/>
        <v>393.11604782123379</v>
      </c>
      <c r="C65" s="154">
        <f t="shared" si="5"/>
        <v>120.99189527330527</v>
      </c>
      <c r="D65" s="150">
        <f t="shared" si="6"/>
        <v>272.12415254792853</v>
      </c>
      <c r="E65" s="151">
        <f t="shared" si="7"/>
        <v>24336.39691998874</v>
      </c>
      <c r="H65" s="167">
        <v>45</v>
      </c>
      <c r="I65" s="168" t="s">
        <v>518</v>
      </c>
      <c r="J65" s="169" t="s">
        <v>346</v>
      </c>
      <c r="K65" s="169" t="s">
        <v>519</v>
      </c>
      <c r="L65" s="169" t="s">
        <v>520</v>
      </c>
      <c r="M65" s="170" t="s">
        <v>521</v>
      </c>
    </row>
    <row r="66" spans="1:13" x14ac:dyDescent="0.3">
      <c r="A66" s="143">
        <v>47</v>
      </c>
      <c r="B66" s="152">
        <f t="shared" si="1"/>
        <v>393.11604782123379</v>
      </c>
      <c r="C66" s="152">
        <f t="shared" si="5"/>
        <v>119.65395152327797</v>
      </c>
      <c r="D66" s="152">
        <f t="shared" si="6"/>
        <v>273.46209629795584</v>
      </c>
      <c r="E66" s="153">
        <f t="shared" si="7"/>
        <v>24062.934823690783</v>
      </c>
      <c r="H66" s="163">
        <v>46</v>
      </c>
      <c r="I66" s="164" t="s">
        <v>522</v>
      </c>
      <c r="J66" s="165" t="s">
        <v>346</v>
      </c>
      <c r="K66" s="165" t="s">
        <v>523</v>
      </c>
      <c r="L66" s="165" t="s">
        <v>524</v>
      </c>
      <c r="M66" s="166" t="s">
        <v>525</v>
      </c>
    </row>
    <row r="67" spans="1:13" x14ac:dyDescent="0.3">
      <c r="A67" s="148">
        <v>48</v>
      </c>
      <c r="B67" s="154">
        <f t="shared" si="1"/>
        <v>393.11604782123379</v>
      </c>
      <c r="C67" s="154">
        <f t="shared" si="5"/>
        <v>118.309429549813</v>
      </c>
      <c r="D67" s="150">
        <f t="shared" si="6"/>
        <v>274.8066182714208</v>
      </c>
      <c r="E67" s="151">
        <f t="shared" si="7"/>
        <v>23788.128205419362</v>
      </c>
      <c r="H67" s="167">
        <v>47</v>
      </c>
      <c r="I67" s="168" t="s">
        <v>526</v>
      </c>
      <c r="J67" s="169" t="s">
        <v>346</v>
      </c>
      <c r="K67" s="169" t="s">
        <v>527</v>
      </c>
      <c r="L67" s="169" t="s">
        <v>528</v>
      </c>
      <c r="M67" s="170" t="s">
        <v>529</v>
      </c>
    </row>
    <row r="68" spans="1:13" x14ac:dyDescent="0.3">
      <c r="A68" s="143">
        <v>49</v>
      </c>
      <c r="B68" s="152">
        <f t="shared" si="1"/>
        <v>393.11604782123379</v>
      </c>
      <c r="C68" s="152">
        <f t="shared" si="5"/>
        <v>116.95829700997852</v>
      </c>
      <c r="D68" s="152">
        <f t="shared" si="6"/>
        <v>276.15775081125526</v>
      </c>
      <c r="E68" s="153">
        <f t="shared" si="7"/>
        <v>23511.970454608105</v>
      </c>
      <c r="H68" s="163">
        <v>48</v>
      </c>
      <c r="I68" s="164" t="s">
        <v>530</v>
      </c>
      <c r="J68" s="165" t="s">
        <v>346</v>
      </c>
      <c r="K68" s="165" t="s">
        <v>531</v>
      </c>
      <c r="L68" s="165" t="s">
        <v>532</v>
      </c>
      <c r="M68" s="166" t="s">
        <v>533</v>
      </c>
    </row>
    <row r="69" spans="1:13" x14ac:dyDescent="0.3">
      <c r="A69" s="148">
        <v>50</v>
      </c>
      <c r="B69" s="154">
        <f t="shared" si="1"/>
        <v>393.11604782123379</v>
      </c>
      <c r="C69" s="154">
        <f t="shared" si="5"/>
        <v>115.60052140182317</v>
      </c>
      <c r="D69" s="150">
        <f t="shared" si="6"/>
        <v>277.51552641941061</v>
      </c>
      <c r="E69" s="151">
        <f t="shared" si="7"/>
        <v>23234.454928188694</v>
      </c>
      <c r="H69" s="167">
        <v>49</v>
      </c>
      <c r="I69" s="168" t="s">
        <v>534</v>
      </c>
      <c r="J69" s="169" t="s">
        <v>346</v>
      </c>
      <c r="K69" s="169" t="s">
        <v>535</v>
      </c>
      <c r="L69" s="169" t="s">
        <v>536</v>
      </c>
      <c r="M69" s="170" t="s">
        <v>537</v>
      </c>
    </row>
    <row r="70" spans="1:13" x14ac:dyDescent="0.3">
      <c r="A70" s="143">
        <v>51</v>
      </c>
      <c r="B70" s="152">
        <f t="shared" si="1"/>
        <v>393.11604782123379</v>
      </c>
      <c r="C70" s="152">
        <f t="shared" si="5"/>
        <v>114.23607006359441</v>
      </c>
      <c r="D70" s="152">
        <f t="shared" si="6"/>
        <v>278.87997775763938</v>
      </c>
      <c r="E70" s="153">
        <f t="shared" si="7"/>
        <v>22955.574950431055</v>
      </c>
      <c r="H70" s="163">
        <v>50</v>
      </c>
      <c r="I70" s="164" t="s">
        <v>538</v>
      </c>
      <c r="J70" s="165" t="s">
        <v>346</v>
      </c>
      <c r="K70" s="165" t="s">
        <v>539</v>
      </c>
      <c r="L70" s="165" t="s">
        <v>540</v>
      </c>
      <c r="M70" s="166" t="s">
        <v>541</v>
      </c>
    </row>
    <row r="71" spans="1:13" x14ac:dyDescent="0.3">
      <c r="A71" s="148">
        <v>52</v>
      </c>
      <c r="B71" s="154">
        <f t="shared" si="1"/>
        <v>393.11604782123379</v>
      </c>
      <c r="C71" s="154">
        <f t="shared" si="5"/>
        <v>112.86491017295268</v>
      </c>
      <c r="D71" s="150">
        <f t="shared" si="6"/>
        <v>280.25113764828109</v>
      </c>
      <c r="E71" s="151">
        <f t="shared" si="7"/>
        <v>22675.323812782775</v>
      </c>
      <c r="H71" s="167">
        <v>51</v>
      </c>
      <c r="I71" s="168" t="s">
        <v>542</v>
      </c>
      <c r="J71" s="169" t="s">
        <v>346</v>
      </c>
      <c r="K71" s="169" t="s">
        <v>543</v>
      </c>
      <c r="L71" s="169" t="s">
        <v>544</v>
      </c>
      <c r="M71" s="170" t="s">
        <v>545</v>
      </c>
    </row>
    <row r="72" spans="1:13" x14ac:dyDescent="0.3">
      <c r="A72" s="143">
        <v>53</v>
      </c>
      <c r="B72" s="152">
        <f t="shared" si="1"/>
        <v>393.11604782123379</v>
      </c>
      <c r="C72" s="152">
        <f t="shared" si="5"/>
        <v>111.48700874618197</v>
      </c>
      <c r="D72" s="152">
        <f t="shared" si="6"/>
        <v>281.62903907505182</v>
      </c>
      <c r="E72" s="153">
        <f t="shared" si="7"/>
        <v>22393.694773707724</v>
      </c>
      <c r="H72" s="163">
        <v>52</v>
      </c>
      <c r="I72" s="164" t="s">
        <v>546</v>
      </c>
      <c r="J72" s="165" t="s">
        <v>346</v>
      </c>
      <c r="K72" s="165" t="s">
        <v>547</v>
      </c>
      <c r="L72" s="165" t="s">
        <v>548</v>
      </c>
      <c r="M72" s="166" t="s">
        <v>549</v>
      </c>
    </row>
    <row r="73" spans="1:13" x14ac:dyDescent="0.3">
      <c r="A73" s="148">
        <v>54</v>
      </c>
      <c r="B73" s="154">
        <f t="shared" si="1"/>
        <v>393.11604782123379</v>
      </c>
      <c r="C73" s="154">
        <f t="shared" si="5"/>
        <v>110.1023326373963</v>
      </c>
      <c r="D73" s="150">
        <f t="shared" si="6"/>
        <v>283.01371518383746</v>
      </c>
      <c r="E73" s="151">
        <f t="shared" si="7"/>
        <v>22110.681058523885</v>
      </c>
      <c r="H73" s="167">
        <v>53</v>
      </c>
      <c r="I73" s="168" t="s">
        <v>550</v>
      </c>
      <c r="J73" s="169" t="s">
        <v>346</v>
      </c>
      <c r="K73" s="169" t="s">
        <v>551</v>
      </c>
      <c r="L73" s="169" t="s">
        <v>552</v>
      </c>
      <c r="M73" s="170" t="s">
        <v>553</v>
      </c>
    </row>
    <row r="74" spans="1:13" x14ac:dyDescent="0.3">
      <c r="A74" s="143">
        <v>55</v>
      </c>
      <c r="B74" s="152">
        <f t="shared" si="1"/>
        <v>393.11604782123379</v>
      </c>
      <c r="C74" s="152">
        <f t="shared" si="5"/>
        <v>108.71084853774244</v>
      </c>
      <c r="D74" s="152">
        <f t="shared" si="6"/>
        <v>284.40519928349136</v>
      </c>
      <c r="E74" s="153">
        <f t="shared" si="7"/>
        <v>21826.275859240395</v>
      </c>
      <c r="H74" s="163">
        <v>54</v>
      </c>
      <c r="I74" s="164" t="s">
        <v>554</v>
      </c>
      <c r="J74" s="165" t="s">
        <v>346</v>
      </c>
      <c r="K74" s="165" t="s">
        <v>555</v>
      </c>
      <c r="L74" s="165" t="s">
        <v>556</v>
      </c>
      <c r="M74" s="166" t="s">
        <v>557</v>
      </c>
    </row>
    <row r="75" spans="1:13" x14ac:dyDescent="0.3">
      <c r="A75" s="148">
        <v>56</v>
      </c>
      <c r="B75" s="154">
        <f t="shared" si="1"/>
        <v>393.11604782123379</v>
      </c>
      <c r="C75" s="154">
        <f t="shared" si="5"/>
        <v>107.31252297459861</v>
      </c>
      <c r="D75" s="150">
        <f t="shared" si="6"/>
        <v>285.80352484663518</v>
      </c>
      <c r="E75" s="151">
        <f t="shared" si="7"/>
        <v>21540.472334393759</v>
      </c>
      <c r="H75" s="167">
        <v>55</v>
      </c>
      <c r="I75" s="168" t="s">
        <v>558</v>
      </c>
      <c r="J75" s="169" t="s">
        <v>346</v>
      </c>
      <c r="K75" s="169" t="s">
        <v>559</v>
      </c>
      <c r="L75" s="169" t="s">
        <v>560</v>
      </c>
      <c r="M75" s="170" t="s">
        <v>561</v>
      </c>
    </row>
    <row r="76" spans="1:13" x14ac:dyDescent="0.3">
      <c r="A76" s="143">
        <v>57</v>
      </c>
      <c r="B76" s="152">
        <f t="shared" si="1"/>
        <v>393.11604782123379</v>
      </c>
      <c r="C76" s="152">
        <f t="shared" si="5"/>
        <v>105.9073223107693</v>
      </c>
      <c r="D76" s="152">
        <f t="shared" si="6"/>
        <v>287.20872551046449</v>
      </c>
      <c r="E76" s="153">
        <f t="shared" si="7"/>
        <v>21253.263608883295</v>
      </c>
      <c r="H76" s="163">
        <v>56</v>
      </c>
      <c r="I76" s="164" t="s">
        <v>562</v>
      </c>
      <c r="J76" s="165" t="s">
        <v>346</v>
      </c>
      <c r="K76" s="165" t="s">
        <v>563</v>
      </c>
      <c r="L76" s="165" t="s">
        <v>564</v>
      </c>
      <c r="M76" s="166" t="s">
        <v>565</v>
      </c>
    </row>
    <row r="77" spans="1:13" x14ac:dyDescent="0.3">
      <c r="A77" s="148">
        <v>58</v>
      </c>
      <c r="B77" s="154">
        <f t="shared" si="1"/>
        <v>393.11604782123379</v>
      </c>
      <c r="C77" s="154">
        <f t="shared" si="5"/>
        <v>104.49521274367619</v>
      </c>
      <c r="D77" s="150">
        <f t="shared" si="6"/>
        <v>288.62083507755762</v>
      </c>
      <c r="E77" s="151">
        <f t="shared" si="7"/>
        <v>20964.642773805739</v>
      </c>
      <c r="H77" s="167">
        <v>57</v>
      </c>
      <c r="I77" s="168" t="s">
        <v>566</v>
      </c>
      <c r="J77" s="169" t="s">
        <v>346</v>
      </c>
      <c r="K77" s="169" t="s">
        <v>567</v>
      </c>
      <c r="L77" s="169" t="s">
        <v>568</v>
      </c>
      <c r="M77" s="170" t="s">
        <v>569</v>
      </c>
    </row>
    <row r="78" spans="1:13" x14ac:dyDescent="0.3">
      <c r="A78" s="143">
        <v>59</v>
      </c>
      <c r="B78" s="152">
        <f t="shared" si="1"/>
        <v>393.11604782123379</v>
      </c>
      <c r="C78" s="152">
        <f t="shared" si="5"/>
        <v>103.07616030454489</v>
      </c>
      <c r="D78" s="152">
        <f t="shared" si="6"/>
        <v>290.03988751668891</v>
      </c>
      <c r="E78" s="153">
        <f t="shared" si="7"/>
        <v>20674.602886289049</v>
      </c>
      <c r="H78" s="163">
        <v>58</v>
      </c>
      <c r="I78" s="164" t="s">
        <v>570</v>
      </c>
      <c r="J78" s="165" t="s">
        <v>346</v>
      </c>
      <c r="K78" s="165" t="s">
        <v>571</v>
      </c>
      <c r="L78" s="165" t="s">
        <v>572</v>
      </c>
      <c r="M78" s="166" t="s">
        <v>573</v>
      </c>
    </row>
    <row r="79" spans="1:13" x14ac:dyDescent="0.3">
      <c r="A79" s="148">
        <v>60</v>
      </c>
      <c r="B79" s="154">
        <f t="shared" si="1"/>
        <v>393.11604782123379</v>
      </c>
      <c r="C79" s="154">
        <f t="shared" si="5"/>
        <v>101.65013085758783</v>
      </c>
      <c r="D79" s="150">
        <f t="shared" si="6"/>
        <v>291.46591696364595</v>
      </c>
      <c r="E79" s="151">
        <f t="shared" si="7"/>
        <v>20383.136969325402</v>
      </c>
      <c r="H79" s="167">
        <v>59</v>
      </c>
      <c r="I79" s="168" t="s">
        <v>574</v>
      </c>
      <c r="J79" s="169" t="s">
        <v>346</v>
      </c>
      <c r="K79" s="169" t="s">
        <v>575</v>
      </c>
      <c r="L79" s="169" t="s">
        <v>576</v>
      </c>
      <c r="M79" s="170" t="s">
        <v>577</v>
      </c>
    </row>
    <row r="80" spans="1:13" x14ac:dyDescent="0.3">
      <c r="A80" s="143">
        <v>61</v>
      </c>
      <c r="B80" s="152">
        <f t="shared" si="1"/>
        <v>393.11604782123379</v>
      </c>
      <c r="C80" s="152">
        <f t="shared" si="5"/>
        <v>100.21709009918322</v>
      </c>
      <c r="D80" s="152">
        <f t="shared" si="6"/>
        <v>292.89895772205057</v>
      </c>
      <c r="E80" s="153">
        <f t="shared" si="7"/>
        <v>20090.238011603353</v>
      </c>
      <c r="H80" s="163">
        <v>60</v>
      </c>
      <c r="I80" s="164" t="s">
        <v>578</v>
      </c>
      <c r="J80" s="165" t="s">
        <v>346</v>
      </c>
      <c r="K80" s="165" t="s">
        <v>579</v>
      </c>
      <c r="L80" s="165" t="s">
        <v>580</v>
      </c>
      <c r="M80" s="166" t="s">
        <v>581</v>
      </c>
    </row>
    <row r="81" spans="1:13" x14ac:dyDescent="0.3">
      <c r="A81" s="148">
        <v>62</v>
      </c>
      <c r="B81" s="154">
        <f t="shared" si="1"/>
        <v>393.11604782123379</v>
      </c>
      <c r="C81" s="154">
        <f t="shared" si="5"/>
        <v>98.77700355704981</v>
      </c>
      <c r="D81" s="150">
        <f t="shared" si="6"/>
        <v>294.339044264184</v>
      </c>
      <c r="E81" s="151">
        <f t="shared" si="7"/>
        <v>19795.89896733917</v>
      </c>
      <c r="H81" s="167">
        <v>61</v>
      </c>
      <c r="I81" s="168" t="s">
        <v>582</v>
      </c>
      <c r="J81" s="169" t="s">
        <v>346</v>
      </c>
      <c r="K81" s="169" t="s">
        <v>583</v>
      </c>
      <c r="L81" s="169" t="s">
        <v>584</v>
      </c>
      <c r="M81" s="170" t="s">
        <v>585</v>
      </c>
    </row>
    <row r="82" spans="1:13" x14ac:dyDescent="0.3">
      <c r="A82" s="143">
        <v>63</v>
      </c>
      <c r="B82" s="152">
        <f t="shared" si="1"/>
        <v>393.11604782123379</v>
      </c>
      <c r="C82" s="152">
        <f t="shared" si="5"/>
        <v>97.329836589417582</v>
      </c>
      <c r="D82" s="152">
        <f t="shared" si="6"/>
        <v>295.7862112318162</v>
      </c>
      <c r="E82" s="153">
        <f t="shared" si="7"/>
        <v>19500.112756107352</v>
      </c>
      <c r="H82" s="163">
        <v>62</v>
      </c>
      <c r="I82" s="164" t="s">
        <v>586</v>
      </c>
      <c r="J82" s="165" t="s">
        <v>346</v>
      </c>
      <c r="K82" s="165" t="s">
        <v>587</v>
      </c>
      <c r="L82" s="165" t="s">
        <v>588</v>
      </c>
      <c r="M82" s="166" t="s">
        <v>589</v>
      </c>
    </row>
    <row r="83" spans="1:13" x14ac:dyDescent="0.3">
      <c r="A83" s="148">
        <v>64</v>
      </c>
      <c r="B83" s="154">
        <f t="shared" si="1"/>
        <v>393.11604782123379</v>
      </c>
      <c r="C83" s="154">
        <f t="shared" si="5"/>
        <v>95.875554384194473</v>
      </c>
      <c r="D83" s="150">
        <f t="shared" si="6"/>
        <v>297.24049343703933</v>
      </c>
      <c r="E83" s="151">
        <f t="shared" si="7"/>
        <v>19202.872262670313</v>
      </c>
      <c r="H83" s="167">
        <v>63</v>
      </c>
      <c r="I83" s="168" t="s">
        <v>590</v>
      </c>
      <c r="J83" s="169" t="s">
        <v>346</v>
      </c>
      <c r="K83" s="169" t="s">
        <v>591</v>
      </c>
      <c r="L83" s="169" t="s">
        <v>592</v>
      </c>
      <c r="M83" s="170" t="s">
        <v>593</v>
      </c>
    </row>
    <row r="84" spans="1:13" x14ac:dyDescent="0.3">
      <c r="A84" s="143">
        <v>65</v>
      </c>
      <c r="B84" s="152">
        <f t="shared" si="1"/>
        <v>393.11604782123379</v>
      </c>
      <c r="C84" s="152">
        <f t="shared" si="5"/>
        <v>94.41412195812903</v>
      </c>
      <c r="D84" s="152">
        <f t="shared" si="6"/>
        <v>298.70192586310475</v>
      </c>
      <c r="E84" s="153">
        <f t="shared" si="7"/>
        <v>18904.170336807209</v>
      </c>
      <c r="H84" s="163">
        <v>64</v>
      </c>
      <c r="I84" s="164" t="s">
        <v>594</v>
      </c>
      <c r="J84" s="165" t="s">
        <v>346</v>
      </c>
      <c r="K84" s="165" t="s">
        <v>595</v>
      </c>
      <c r="L84" s="165" t="s">
        <v>596</v>
      </c>
      <c r="M84" s="166" t="s">
        <v>597</v>
      </c>
    </row>
    <row r="85" spans="1:13" x14ac:dyDescent="0.3">
      <c r="A85" s="148">
        <v>66</v>
      </c>
      <c r="B85" s="154">
        <f t="shared" ref="B85:B139" si="8">$C$6</f>
        <v>393.11604782123379</v>
      </c>
      <c r="C85" s="154">
        <f t="shared" si="5"/>
        <v>92.945504155968777</v>
      </c>
      <c r="D85" s="150">
        <f t="shared" si="6"/>
        <v>300.17054366526503</v>
      </c>
      <c r="E85" s="151">
        <f t="shared" si="7"/>
        <v>18603.999793141942</v>
      </c>
      <c r="H85" s="167">
        <v>65</v>
      </c>
      <c r="I85" s="168" t="s">
        <v>598</v>
      </c>
      <c r="J85" s="169" t="s">
        <v>346</v>
      </c>
      <c r="K85" s="169" t="s">
        <v>599</v>
      </c>
      <c r="L85" s="169" t="s">
        <v>600</v>
      </c>
      <c r="M85" s="170" t="s">
        <v>601</v>
      </c>
    </row>
    <row r="86" spans="1:13" x14ac:dyDescent="0.3">
      <c r="A86" s="143">
        <v>67</v>
      </c>
      <c r="B86" s="152">
        <f t="shared" si="8"/>
        <v>393.11604782123379</v>
      </c>
      <c r="C86" s="152">
        <f t="shared" si="5"/>
        <v>91.469665649614541</v>
      </c>
      <c r="D86" s="152">
        <f t="shared" si="6"/>
        <v>301.64638217161928</v>
      </c>
      <c r="E86" s="153">
        <f t="shared" si="7"/>
        <v>18302.353410970321</v>
      </c>
      <c r="H86" s="163">
        <v>66</v>
      </c>
      <c r="I86" s="164" t="s">
        <v>602</v>
      </c>
      <c r="J86" s="165" t="s">
        <v>346</v>
      </c>
      <c r="K86" s="165" t="s">
        <v>603</v>
      </c>
      <c r="L86" s="165" t="s">
        <v>604</v>
      </c>
      <c r="M86" s="166" t="s">
        <v>605</v>
      </c>
    </row>
    <row r="87" spans="1:13" x14ac:dyDescent="0.3">
      <c r="A87" s="148">
        <v>68</v>
      </c>
      <c r="B87" s="154">
        <f t="shared" si="8"/>
        <v>393.11604782123379</v>
      </c>
      <c r="C87" s="154">
        <f t="shared" si="5"/>
        <v>89.986570937270741</v>
      </c>
      <c r="D87" s="150">
        <f t="shared" si="6"/>
        <v>303.12947688396304</v>
      </c>
      <c r="E87" s="151">
        <f t="shared" si="7"/>
        <v>17999.22393408636</v>
      </c>
      <c r="H87" s="167">
        <v>67</v>
      </c>
      <c r="I87" s="168" t="s">
        <v>606</v>
      </c>
      <c r="J87" s="169" t="s">
        <v>346</v>
      </c>
      <c r="K87" s="169" t="s">
        <v>607</v>
      </c>
      <c r="L87" s="169" t="s">
        <v>608</v>
      </c>
      <c r="M87" s="170" t="s">
        <v>609</v>
      </c>
    </row>
    <row r="88" spans="1:13" x14ac:dyDescent="0.3">
      <c r="A88" s="143">
        <v>69</v>
      </c>
      <c r="B88" s="152">
        <f t="shared" si="8"/>
        <v>393.11604782123379</v>
      </c>
      <c r="C88" s="152">
        <f t="shared" si="5"/>
        <v>88.496184342591263</v>
      </c>
      <c r="D88" s="152">
        <f t="shared" si="6"/>
        <v>304.61986347864251</v>
      </c>
      <c r="E88" s="153">
        <f t="shared" si="7"/>
        <v>17694.604070607718</v>
      </c>
      <c r="H88" s="163">
        <v>68</v>
      </c>
      <c r="I88" s="164" t="s">
        <v>610</v>
      </c>
      <c r="J88" s="165" t="s">
        <v>346</v>
      </c>
      <c r="K88" s="165" t="s">
        <v>611</v>
      </c>
      <c r="L88" s="165" t="s">
        <v>612</v>
      </c>
      <c r="M88" s="166" t="s">
        <v>613</v>
      </c>
    </row>
    <row r="89" spans="1:13" x14ac:dyDescent="0.3">
      <c r="A89" s="148">
        <v>70</v>
      </c>
      <c r="B89" s="154">
        <f t="shared" si="8"/>
        <v>393.11604782123379</v>
      </c>
      <c r="C89" s="154">
        <f t="shared" si="5"/>
        <v>86.998470013821276</v>
      </c>
      <c r="D89" s="150">
        <f t="shared" si="6"/>
        <v>306.11757780741254</v>
      </c>
      <c r="E89" s="151">
        <f t="shared" si="7"/>
        <v>17388.486492800304</v>
      </c>
      <c r="H89" s="167">
        <v>69</v>
      </c>
      <c r="I89" s="168" t="s">
        <v>614</v>
      </c>
      <c r="J89" s="169" t="s">
        <v>346</v>
      </c>
      <c r="K89" s="169" t="s">
        <v>615</v>
      </c>
      <c r="L89" s="169" t="s">
        <v>616</v>
      </c>
      <c r="M89" s="170" t="s">
        <v>617</v>
      </c>
    </row>
    <row r="90" spans="1:13" x14ac:dyDescent="0.3">
      <c r="A90" s="143">
        <v>71</v>
      </c>
      <c r="B90" s="152">
        <f t="shared" si="8"/>
        <v>393.11604782123379</v>
      </c>
      <c r="C90" s="152">
        <f t="shared" si="5"/>
        <v>85.493391922934819</v>
      </c>
      <c r="D90" s="152">
        <f t="shared" si="6"/>
        <v>307.62265589829894</v>
      </c>
      <c r="E90" s="153">
        <f t="shared" si="7"/>
        <v>17080.863836902005</v>
      </c>
      <c r="H90" s="163">
        <v>70</v>
      </c>
      <c r="I90" s="164" t="s">
        <v>618</v>
      </c>
      <c r="J90" s="165" t="s">
        <v>346</v>
      </c>
      <c r="K90" s="165" t="s">
        <v>619</v>
      </c>
      <c r="L90" s="165" t="s">
        <v>620</v>
      </c>
      <c r="M90" s="166" t="s">
        <v>621</v>
      </c>
    </row>
    <row r="91" spans="1:13" x14ac:dyDescent="0.3">
      <c r="A91" s="148">
        <v>72</v>
      </c>
      <c r="B91" s="154">
        <f t="shared" si="8"/>
        <v>393.11604782123379</v>
      </c>
      <c r="C91" s="154">
        <f t="shared" ref="C91:C139" si="9">E90*$C$13</f>
        <v>83.980913864768183</v>
      </c>
      <c r="D91" s="150">
        <f t="shared" ref="D91:D139" si="10">B91-C91</f>
        <v>309.13513395646561</v>
      </c>
      <c r="E91" s="151">
        <f t="shared" ref="E91:E139" si="11">E90-D91</f>
        <v>16771.72870294554</v>
      </c>
      <c r="H91" s="167">
        <v>71</v>
      </c>
      <c r="I91" s="168" t="s">
        <v>622</v>
      </c>
      <c r="J91" s="169" t="s">
        <v>346</v>
      </c>
      <c r="K91" s="169" t="s">
        <v>623</v>
      </c>
      <c r="L91" s="169" t="s">
        <v>624</v>
      </c>
      <c r="M91" s="170" t="s">
        <v>625</v>
      </c>
    </row>
    <row r="92" spans="1:13" x14ac:dyDescent="0.3">
      <c r="A92" s="143">
        <v>73</v>
      </c>
      <c r="B92" s="152">
        <f t="shared" si="8"/>
        <v>393.11604782123379</v>
      </c>
      <c r="C92" s="152">
        <f t="shared" si="9"/>
        <v>82.460999456148897</v>
      </c>
      <c r="D92" s="152">
        <f t="shared" si="10"/>
        <v>310.65504836508489</v>
      </c>
      <c r="E92" s="153">
        <f t="shared" si="11"/>
        <v>16461.073654580454</v>
      </c>
      <c r="H92" s="163">
        <v>72</v>
      </c>
      <c r="I92" s="164" t="s">
        <v>626</v>
      </c>
      <c r="J92" s="165" t="s">
        <v>346</v>
      </c>
      <c r="K92" s="165" t="s">
        <v>627</v>
      </c>
      <c r="L92" s="165" t="s">
        <v>628</v>
      </c>
      <c r="M92" s="166" t="s">
        <v>629</v>
      </c>
    </row>
    <row r="93" spans="1:13" x14ac:dyDescent="0.3">
      <c r="A93" s="148">
        <v>74</v>
      </c>
      <c r="B93" s="154">
        <f t="shared" si="8"/>
        <v>393.11604782123379</v>
      </c>
      <c r="C93" s="154">
        <f t="shared" si="9"/>
        <v>80.933612135020567</v>
      </c>
      <c r="D93" s="150">
        <f t="shared" si="10"/>
        <v>312.18243568621324</v>
      </c>
      <c r="E93" s="151">
        <f t="shared" si="11"/>
        <v>16148.891218894241</v>
      </c>
      <c r="H93" s="167">
        <v>73</v>
      </c>
      <c r="I93" s="168" t="s">
        <v>630</v>
      </c>
      <c r="J93" s="169" t="s">
        <v>346</v>
      </c>
      <c r="K93" s="169" t="s">
        <v>631</v>
      </c>
      <c r="L93" s="169" t="s">
        <v>632</v>
      </c>
      <c r="M93" s="170" t="s">
        <v>633</v>
      </c>
    </row>
    <row r="94" spans="1:13" x14ac:dyDescent="0.3">
      <c r="A94" s="143">
        <v>75</v>
      </c>
      <c r="B94" s="152">
        <f t="shared" si="8"/>
        <v>393.11604782123379</v>
      </c>
      <c r="C94" s="152">
        <f t="shared" si="9"/>
        <v>79.398715159563352</v>
      </c>
      <c r="D94" s="152">
        <f t="shared" si="10"/>
        <v>313.71733266167041</v>
      </c>
      <c r="E94" s="153">
        <f t="shared" si="11"/>
        <v>15835.173886232571</v>
      </c>
      <c r="H94" s="163">
        <v>74</v>
      </c>
      <c r="I94" s="164" t="s">
        <v>634</v>
      </c>
      <c r="J94" s="165" t="s">
        <v>346</v>
      </c>
      <c r="K94" s="165" t="s">
        <v>635</v>
      </c>
      <c r="L94" s="165" t="s">
        <v>636</v>
      </c>
      <c r="M94" s="166" t="s">
        <v>637</v>
      </c>
    </row>
    <row r="95" spans="1:13" x14ac:dyDescent="0.3">
      <c r="A95" s="148">
        <v>76</v>
      </c>
      <c r="B95" s="154">
        <f t="shared" si="8"/>
        <v>393.11604782123379</v>
      </c>
      <c r="C95" s="154">
        <f t="shared" si="9"/>
        <v>77.856271607310134</v>
      </c>
      <c r="D95" s="150">
        <f t="shared" si="10"/>
        <v>315.25977621392366</v>
      </c>
      <c r="E95" s="151">
        <f t="shared" si="11"/>
        <v>15519.914110018648</v>
      </c>
      <c r="H95" s="167">
        <v>75</v>
      </c>
      <c r="I95" s="168" t="s">
        <v>638</v>
      </c>
      <c r="J95" s="169" t="s">
        <v>346</v>
      </c>
      <c r="K95" s="169" t="s">
        <v>639</v>
      </c>
      <c r="L95" s="169" t="s">
        <v>640</v>
      </c>
      <c r="M95" s="170" t="s">
        <v>641</v>
      </c>
    </row>
    <row r="96" spans="1:13" x14ac:dyDescent="0.3">
      <c r="A96" s="143">
        <v>77</v>
      </c>
      <c r="B96" s="152">
        <f t="shared" si="8"/>
        <v>393.11604782123379</v>
      </c>
      <c r="C96" s="152">
        <f t="shared" si="9"/>
        <v>76.306244374258355</v>
      </c>
      <c r="D96" s="152">
        <f t="shared" si="10"/>
        <v>316.80980344697542</v>
      </c>
      <c r="E96" s="153">
        <f t="shared" si="11"/>
        <v>15203.104306571673</v>
      </c>
      <c r="H96" s="163">
        <v>76</v>
      </c>
      <c r="I96" s="164" t="s">
        <v>642</v>
      </c>
      <c r="J96" s="165" t="s">
        <v>346</v>
      </c>
      <c r="K96" s="165" t="s">
        <v>643</v>
      </c>
      <c r="L96" s="165" t="s">
        <v>644</v>
      </c>
      <c r="M96" s="166" t="s">
        <v>645</v>
      </c>
    </row>
    <row r="97" spans="1:13" x14ac:dyDescent="0.3">
      <c r="A97" s="148">
        <v>78</v>
      </c>
      <c r="B97" s="154">
        <f t="shared" si="8"/>
        <v>393.11604782123379</v>
      </c>
      <c r="C97" s="154">
        <f t="shared" si="9"/>
        <v>74.74859617397739</v>
      </c>
      <c r="D97" s="150">
        <f t="shared" si="10"/>
        <v>318.36745164725642</v>
      </c>
      <c r="E97" s="151">
        <f t="shared" si="11"/>
        <v>14884.736854924417</v>
      </c>
      <c r="H97" s="167">
        <v>77</v>
      </c>
      <c r="I97" s="168" t="s">
        <v>646</v>
      </c>
      <c r="J97" s="169" t="s">
        <v>346</v>
      </c>
      <c r="K97" s="169" t="s">
        <v>647</v>
      </c>
      <c r="L97" s="169" t="s">
        <v>648</v>
      </c>
      <c r="M97" s="170" t="s">
        <v>649</v>
      </c>
    </row>
    <row r="98" spans="1:13" x14ac:dyDescent="0.3">
      <c r="A98" s="143">
        <v>79</v>
      </c>
      <c r="B98" s="152">
        <f t="shared" si="8"/>
        <v>393.11604782123379</v>
      </c>
      <c r="C98" s="152">
        <f t="shared" si="9"/>
        <v>73.183289536711712</v>
      </c>
      <c r="D98" s="152">
        <f t="shared" si="10"/>
        <v>319.93275828452209</v>
      </c>
      <c r="E98" s="153">
        <f t="shared" si="11"/>
        <v>14564.804096639895</v>
      </c>
      <c r="H98" s="163">
        <v>78</v>
      </c>
      <c r="I98" s="164" t="s">
        <v>650</v>
      </c>
      <c r="J98" s="165" t="s">
        <v>346</v>
      </c>
      <c r="K98" s="165" t="s">
        <v>651</v>
      </c>
      <c r="L98" s="165" t="s">
        <v>652</v>
      </c>
      <c r="M98" s="166" t="s">
        <v>653</v>
      </c>
    </row>
    <row r="99" spans="1:13" x14ac:dyDescent="0.3">
      <c r="A99" s="148">
        <v>80</v>
      </c>
      <c r="B99" s="154">
        <f t="shared" si="8"/>
        <v>393.11604782123379</v>
      </c>
      <c r="C99" s="154">
        <f t="shared" si="9"/>
        <v>71.610286808479486</v>
      </c>
      <c r="D99" s="150">
        <f t="shared" si="10"/>
        <v>321.50576101275431</v>
      </c>
      <c r="E99" s="151">
        <f t="shared" si="11"/>
        <v>14243.29833562714</v>
      </c>
      <c r="H99" s="167">
        <v>79</v>
      </c>
      <c r="I99" s="168" t="s">
        <v>654</v>
      </c>
      <c r="J99" s="169" t="s">
        <v>346</v>
      </c>
      <c r="K99" s="169" t="s">
        <v>655</v>
      </c>
      <c r="L99" s="169" t="s">
        <v>656</v>
      </c>
      <c r="M99" s="170" t="s">
        <v>657</v>
      </c>
    </row>
    <row r="100" spans="1:13" x14ac:dyDescent="0.3">
      <c r="A100" s="143">
        <v>81</v>
      </c>
      <c r="B100" s="152">
        <f t="shared" si="8"/>
        <v>393.11604782123379</v>
      </c>
      <c r="C100" s="152">
        <f t="shared" si="9"/>
        <v>70.02955015016677</v>
      </c>
      <c r="D100" s="152">
        <f t="shared" si="10"/>
        <v>323.08649767106704</v>
      </c>
      <c r="E100" s="153">
        <f t="shared" si="11"/>
        <v>13920.211837956072</v>
      </c>
      <c r="H100" s="163">
        <v>80</v>
      </c>
      <c r="I100" s="164" t="s">
        <v>658</v>
      </c>
      <c r="J100" s="165" t="s">
        <v>346</v>
      </c>
      <c r="K100" s="165" t="s">
        <v>659</v>
      </c>
      <c r="L100" s="165" t="s">
        <v>660</v>
      </c>
      <c r="M100" s="166" t="s">
        <v>661</v>
      </c>
    </row>
    <row r="101" spans="1:13" x14ac:dyDescent="0.3">
      <c r="A101" s="148">
        <v>82</v>
      </c>
      <c r="B101" s="154">
        <f t="shared" si="8"/>
        <v>393.11604782123379</v>
      </c>
      <c r="C101" s="154">
        <f t="shared" si="9"/>
        <v>68.441041536617348</v>
      </c>
      <c r="D101" s="150">
        <f t="shared" si="10"/>
        <v>324.67500628461642</v>
      </c>
      <c r="E101" s="151">
        <f t="shared" si="11"/>
        <v>13595.536831671456</v>
      </c>
      <c r="H101" s="167">
        <v>81</v>
      </c>
      <c r="I101" s="168" t="s">
        <v>662</v>
      </c>
      <c r="J101" s="169" t="s">
        <v>346</v>
      </c>
      <c r="K101" s="169" t="s">
        <v>663</v>
      </c>
      <c r="L101" s="169" t="s">
        <v>664</v>
      </c>
      <c r="M101" s="170" t="s">
        <v>665</v>
      </c>
    </row>
    <row r="102" spans="1:13" x14ac:dyDescent="0.3">
      <c r="A102" s="143">
        <v>83</v>
      </c>
      <c r="B102" s="152">
        <f t="shared" si="8"/>
        <v>393.11604782123379</v>
      </c>
      <c r="C102" s="152">
        <f t="shared" si="9"/>
        <v>66.844722755717981</v>
      </c>
      <c r="D102" s="152">
        <f t="shared" si="10"/>
        <v>326.27132506551584</v>
      </c>
      <c r="E102" s="153">
        <f t="shared" si="11"/>
        <v>13269.26550660594</v>
      </c>
      <c r="H102" s="163">
        <v>82</v>
      </c>
      <c r="I102" s="164" t="s">
        <v>666</v>
      </c>
      <c r="J102" s="165" t="s">
        <v>346</v>
      </c>
      <c r="K102" s="165" t="s">
        <v>667</v>
      </c>
      <c r="L102" s="165" t="s">
        <v>668</v>
      </c>
      <c r="M102" s="166" t="s">
        <v>669</v>
      </c>
    </row>
    <row r="103" spans="1:13" x14ac:dyDescent="0.3">
      <c r="A103" s="148">
        <v>84</v>
      </c>
      <c r="B103" s="154">
        <f t="shared" si="8"/>
        <v>393.11604782123379</v>
      </c>
      <c r="C103" s="154">
        <f t="shared" si="9"/>
        <v>65.240555407479206</v>
      </c>
      <c r="D103" s="150">
        <f t="shared" si="10"/>
        <v>327.87549241375461</v>
      </c>
      <c r="E103" s="151">
        <f t="shared" si="11"/>
        <v>12941.390014192186</v>
      </c>
      <c r="H103" s="167">
        <v>83</v>
      </c>
      <c r="I103" s="168" t="s">
        <v>670</v>
      </c>
      <c r="J103" s="169" t="s">
        <v>346</v>
      </c>
      <c r="K103" s="169" t="s">
        <v>671</v>
      </c>
      <c r="L103" s="169" t="s">
        <v>672</v>
      </c>
      <c r="M103" s="170" t="s">
        <v>673</v>
      </c>
    </row>
    <row r="104" spans="1:13" x14ac:dyDescent="0.3">
      <c r="A104" s="143">
        <v>85</v>
      </c>
      <c r="B104" s="152">
        <f t="shared" si="8"/>
        <v>393.11604782123379</v>
      </c>
      <c r="C104" s="152">
        <f t="shared" si="9"/>
        <v>63.628500903111579</v>
      </c>
      <c r="D104" s="152">
        <f t="shared" si="10"/>
        <v>329.48754691812223</v>
      </c>
      <c r="E104" s="153">
        <f t="shared" si="11"/>
        <v>12611.902467274063</v>
      </c>
      <c r="H104" s="163">
        <v>84</v>
      </c>
      <c r="I104" s="164" t="s">
        <v>674</v>
      </c>
      <c r="J104" s="165" t="s">
        <v>346</v>
      </c>
      <c r="K104" s="165" t="s">
        <v>675</v>
      </c>
      <c r="L104" s="165" t="s">
        <v>676</v>
      </c>
      <c r="M104" s="166" t="s">
        <v>677</v>
      </c>
    </row>
    <row r="105" spans="1:13" x14ac:dyDescent="0.3">
      <c r="A105" s="148">
        <v>86</v>
      </c>
      <c r="B105" s="154">
        <f t="shared" si="8"/>
        <v>393.11604782123379</v>
      </c>
      <c r="C105" s="154">
        <f t="shared" si="9"/>
        <v>62.008520464097472</v>
      </c>
      <c r="D105" s="150">
        <f t="shared" si="10"/>
        <v>331.10752735713629</v>
      </c>
      <c r="E105" s="151">
        <f t="shared" si="11"/>
        <v>12280.794939916927</v>
      </c>
      <c r="H105" s="167">
        <v>85</v>
      </c>
      <c r="I105" s="168" t="s">
        <v>678</v>
      </c>
      <c r="J105" s="169" t="s">
        <v>346</v>
      </c>
      <c r="K105" s="169" t="s">
        <v>679</v>
      </c>
      <c r="L105" s="169" t="s">
        <v>680</v>
      </c>
      <c r="M105" s="170" t="s">
        <v>681</v>
      </c>
    </row>
    <row r="106" spans="1:13" x14ac:dyDescent="0.3">
      <c r="A106" s="143">
        <v>87</v>
      </c>
      <c r="B106" s="152">
        <f t="shared" si="8"/>
        <v>393.11604782123379</v>
      </c>
      <c r="C106" s="152">
        <f t="shared" si="9"/>
        <v>60.380575121258218</v>
      </c>
      <c r="D106" s="152">
        <f t="shared" si="10"/>
        <v>332.73547269997556</v>
      </c>
      <c r="E106" s="153">
        <f t="shared" si="11"/>
        <v>11948.059467216952</v>
      </c>
      <c r="H106" s="163">
        <v>86</v>
      </c>
      <c r="I106" s="164" t="s">
        <v>682</v>
      </c>
      <c r="J106" s="165" t="s">
        <v>346</v>
      </c>
      <c r="K106" s="165" t="s">
        <v>683</v>
      </c>
      <c r="L106" s="165" t="s">
        <v>684</v>
      </c>
      <c r="M106" s="166" t="s">
        <v>685</v>
      </c>
    </row>
    <row r="107" spans="1:13" x14ac:dyDescent="0.3">
      <c r="A107" s="148">
        <v>88</v>
      </c>
      <c r="B107" s="154">
        <f t="shared" si="8"/>
        <v>393.11604782123379</v>
      </c>
      <c r="C107" s="154">
        <f t="shared" si="9"/>
        <v>58.744625713816674</v>
      </c>
      <c r="D107" s="150">
        <f t="shared" si="10"/>
        <v>334.37142210741712</v>
      </c>
      <c r="E107" s="151">
        <f t="shared" si="11"/>
        <v>11613.688045109535</v>
      </c>
      <c r="H107" s="167">
        <v>87</v>
      </c>
      <c r="I107" s="168" t="s">
        <v>686</v>
      </c>
      <c r="J107" s="169" t="s">
        <v>346</v>
      </c>
      <c r="K107" s="169" t="s">
        <v>687</v>
      </c>
      <c r="L107" s="169" t="s">
        <v>688</v>
      </c>
      <c r="M107" s="170" t="s">
        <v>689</v>
      </c>
    </row>
    <row r="108" spans="1:13" x14ac:dyDescent="0.3">
      <c r="A108" s="143">
        <v>89</v>
      </c>
      <c r="B108" s="152">
        <f t="shared" si="8"/>
        <v>393.11604782123379</v>
      </c>
      <c r="C108" s="152">
        <f t="shared" si="9"/>
        <v>57.100632888455209</v>
      </c>
      <c r="D108" s="152">
        <f t="shared" si="10"/>
        <v>336.01541493277858</v>
      </c>
      <c r="E108" s="153">
        <f t="shared" si="11"/>
        <v>11277.672630176756</v>
      </c>
      <c r="H108" s="163">
        <v>88</v>
      </c>
      <c r="I108" s="164" t="s">
        <v>690</v>
      </c>
      <c r="J108" s="165" t="s">
        <v>346</v>
      </c>
      <c r="K108" s="165" t="s">
        <v>691</v>
      </c>
      <c r="L108" s="165" t="s">
        <v>692</v>
      </c>
      <c r="M108" s="166" t="s">
        <v>693</v>
      </c>
    </row>
    <row r="109" spans="1:13" x14ac:dyDescent="0.3">
      <c r="A109" s="148">
        <v>90</v>
      </c>
      <c r="B109" s="154">
        <f t="shared" si="8"/>
        <v>393.11604782123379</v>
      </c>
      <c r="C109" s="154">
        <f t="shared" si="9"/>
        <v>55.448557098369044</v>
      </c>
      <c r="D109" s="150">
        <f t="shared" si="10"/>
        <v>337.66749072286473</v>
      </c>
      <c r="E109" s="151">
        <f t="shared" si="11"/>
        <v>10940.005139453891</v>
      </c>
      <c r="H109" s="167">
        <v>89</v>
      </c>
      <c r="I109" s="168" t="s">
        <v>694</v>
      </c>
      <c r="J109" s="169" t="s">
        <v>346</v>
      </c>
      <c r="K109" s="169" t="s">
        <v>695</v>
      </c>
      <c r="L109" s="169" t="s">
        <v>696</v>
      </c>
      <c r="M109" s="170" t="s">
        <v>697</v>
      </c>
    </row>
    <row r="110" spans="1:13" x14ac:dyDescent="0.3">
      <c r="A110" s="143">
        <v>91</v>
      </c>
      <c r="B110" s="152">
        <f t="shared" si="8"/>
        <v>393.11604782123379</v>
      </c>
      <c r="C110" s="152">
        <f t="shared" si="9"/>
        <v>53.788358602314965</v>
      </c>
      <c r="D110" s="152">
        <f t="shared" si="10"/>
        <v>339.32768921891881</v>
      </c>
      <c r="E110" s="153">
        <f t="shared" si="11"/>
        <v>10600.677450234973</v>
      </c>
      <c r="H110" s="163">
        <v>90</v>
      </c>
      <c r="I110" s="164" t="s">
        <v>698</v>
      </c>
      <c r="J110" s="165" t="s">
        <v>346</v>
      </c>
      <c r="K110" s="165" t="s">
        <v>699</v>
      </c>
      <c r="L110" s="165" t="s">
        <v>700</v>
      </c>
      <c r="M110" s="166" t="s">
        <v>701</v>
      </c>
    </row>
    <row r="111" spans="1:13" x14ac:dyDescent="0.3">
      <c r="A111" s="148">
        <v>92</v>
      </c>
      <c r="B111" s="154">
        <f t="shared" si="8"/>
        <v>393.11604782123379</v>
      </c>
      <c r="C111" s="154">
        <f t="shared" si="9"/>
        <v>52.119997463655281</v>
      </c>
      <c r="D111" s="150">
        <f t="shared" si="10"/>
        <v>340.9960503575785</v>
      </c>
      <c r="E111" s="151">
        <f t="shared" si="11"/>
        <v>10259.681399877394</v>
      </c>
      <c r="H111" s="167">
        <v>91</v>
      </c>
      <c r="I111" s="168" t="s">
        <v>702</v>
      </c>
      <c r="J111" s="169" t="s">
        <v>346</v>
      </c>
      <c r="K111" s="169" t="s">
        <v>703</v>
      </c>
      <c r="L111" s="169" t="s">
        <v>704</v>
      </c>
      <c r="M111" s="170" t="s">
        <v>705</v>
      </c>
    </row>
    <row r="112" spans="1:13" x14ac:dyDescent="0.3">
      <c r="A112" s="143">
        <v>93</v>
      </c>
      <c r="B112" s="152">
        <f t="shared" si="8"/>
        <v>393.11604782123379</v>
      </c>
      <c r="C112" s="152">
        <f t="shared" si="9"/>
        <v>50.443433549397184</v>
      </c>
      <c r="D112" s="152">
        <f t="shared" si="10"/>
        <v>342.67261427183661</v>
      </c>
      <c r="E112" s="153">
        <f t="shared" si="11"/>
        <v>9917.0087856055579</v>
      </c>
      <c r="H112" s="163">
        <v>92</v>
      </c>
      <c r="I112" s="164" t="s">
        <v>706</v>
      </c>
      <c r="J112" s="165" t="s">
        <v>346</v>
      </c>
      <c r="K112" s="165" t="s">
        <v>707</v>
      </c>
      <c r="L112" s="165" t="s">
        <v>708</v>
      </c>
      <c r="M112" s="166" t="s">
        <v>709</v>
      </c>
    </row>
    <row r="113" spans="1:13" x14ac:dyDescent="0.3">
      <c r="A113" s="148">
        <v>94</v>
      </c>
      <c r="B113" s="154">
        <f t="shared" si="8"/>
        <v>393.11604782123379</v>
      </c>
      <c r="C113" s="154">
        <f t="shared" si="9"/>
        <v>48.758626529227321</v>
      </c>
      <c r="D113" s="150">
        <f t="shared" si="10"/>
        <v>344.35742129200645</v>
      </c>
      <c r="E113" s="151">
        <f t="shared" si="11"/>
        <v>9572.6513643135513</v>
      </c>
      <c r="H113" s="167">
        <v>93</v>
      </c>
      <c r="I113" s="168" t="s">
        <v>710</v>
      </c>
      <c r="J113" s="169" t="s">
        <v>346</v>
      </c>
      <c r="K113" s="169" t="s">
        <v>711</v>
      </c>
      <c r="L113" s="169" t="s">
        <v>712</v>
      </c>
      <c r="M113" s="170" t="s">
        <v>713</v>
      </c>
    </row>
    <row r="114" spans="1:13" x14ac:dyDescent="0.3">
      <c r="A114" s="143">
        <v>95</v>
      </c>
      <c r="B114" s="152">
        <f t="shared" si="8"/>
        <v>393.11604782123379</v>
      </c>
      <c r="C114" s="152">
        <f t="shared" si="9"/>
        <v>47.065535874541624</v>
      </c>
      <c r="D114" s="152">
        <f t="shared" si="10"/>
        <v>346.05051194669215</v>
      </c>
      <c r="E114" s="153">
        <f t="shared" si="11"/>
        <v>9226.6008523668588</v>
      </c>
      <c r="H114" s="163">
        <v>94</v>
      </c>
      <c r="I114" s="164" t="s">
        <v>714</v>
      </c>
      <c r="J114" s="165" t="s">
        <v>346</v>
      </c>
      <c r="K114" s="165" t="s">
        <v>715</v>
      </c>
      <c r="L114" s="165" t="s">
        <v>716</v>
      </c>
      <c r="M114" s="166" t="s">
        <v>717</v>
      </c>
    </row>
    <row r="115" spans="1:13" x14ac:dyDescent="0.3">
      <c r="A115" s="148">
        <v>96</v>
      </c>
      <c r="B115" s="154">
        <f t="shared" si="8"/>
        <v>393.11604782123379</v>
      </c>
      <c r="C115" s="154">
        <f t="shared" si="9"/>
        <v>45.36412085747039</v>
      </c>
      <c r="D115" s="150">
        <f t="shared" si="10"/>
        <v>347.75192696376342</v>
      </c>
      <c r="E115" s="151">
        <f t="shared" si="11"/>
        <v>8878.8489254030956</v>
      </c>
      <c r="H115" s="167">
        <v>95</v>
      </c>
      <c r="I115" s="168" t="s">
        <v>718</v>
      </c>
      <c r="J115" s="169" t="s">
        <v>346</v>
      </c>
      <c r="K115" s="169" t="s">
        <v>719</v>
      </c>
      <c r="L115" s="169" t="s">
        <v>720</v>
      </c>
      <c r="M115" s="170" t="s">
        <v>721</v>
      </c>
    </row>
    <row r="116" spans="1:13" x14ac:dyDescent="0.3">
      <c r="A116" s="143">
        <v>97</v>
      </c>
      <c r="B116" s="152">
        <f t="shared" si="8"/>
        <v>393.11604782123379</v>
      </c>
      <c r="C116" s="152">
        <f t="shared" si="9"/>
        <v>43.654340549898549</v>
      </c>
      <c r="D116" s="152">
        <f t="shared" si="10"/>
        <v>349.46170727133523</v>
      </c>
      <c r="E116" s="153">
        <f t="shared" si="11"/>
        <v>8529.3872181317602</v>
      </c>
      <c r="H116" s="163">
        <v>96</v>
      </c>
      <c r="I116" s="164" t="s">
        <v>722</v>
      </c>
      <c r="J116" s="165" t="s">
        <v>346</v>
      </c>
      <c r="K116" s="165" t="s">
        <v>723</v>
      </c>
      <c r="L116" s="165" t="s">
        <v>724</v>
      </c>
      <c r="M116" s="166" t="s">
        <v>725</v>
      </c>
    </row>
    <row r="117" spans="1:13" x14ac:dyDescent="0.3">
      <c r="A117" s="148">
        <v>98</v>
      </c>
      <c r="B117" s="154">
        <f t="shared" si="8"/>
        <v>393.11604782123379</v>
      </c>
      <c r="C117" s="154">
        <f t="shared" si="9"/>
        <v>41.936153822481153</v>
      </c>
      <c r="D117" s="150">
        <f t="shared" si="10"/>
        <v>351.17989399875262</v>
      </c>
      <c r="E117" s="151">
        <f t="shared" si="11"/>
        <v>8178.2073241330072</v>
      </c>
      <c r="H117" s="167">
        <v>97</v>
      </c>
      <c r="I117" s="168" t="s">
        <v>726</v>
      </c>
      <c r="J117" s="169" t="s">
        <v>346</v>
      </c>
      <c r="K117" s="169" t="s">
        <v>727</v>
      </c>
      <c r="L117" s="169" t="s">
        <v>728</v>
      </c>
      <c r="M117" s="170" t="s">
        <v>729</v>
      </c>
    </row>
    <row r="118" spans="1:13" x14ac:dyDescent="0.3">
      <c r="A118" s="143">
        <v>99</v>
      </c>
      <c r="B118" s="152">
        <f t="shared" si="8"/>
        <v>393.11604782123379</v>
      </c>
      <c r="C118" s="152">
        <f t="shared" si="9"/>
        <v>40.209519343653952</v>
      </c>
      <c r="D118" s="152">
        <f t="shared" si="10"/>
        <v>352.90652847757985</v>
      </c>
      <c r="E118" s="153">
        <f t="shared" si="11"/>
        <v>7825.3007956554275</v>
      </c>
      <c r="H118" s="163">
        <v>98</v>
      </c>
      <c r="I118" s="164" t="s">
        <v>730</v>
      </c>
      <c r="J118" s="165" t="s">
        <v>346</v>
      </c>
      <c r="K118" s="165" t="s">
        <v>731</v>
      </c>
      <c r="L118" s="165" t="s">
        <v>732</v>
      </c>
      <c r="M118" s="166" t="s">
        <v>733</v>
      </c>
    </row>
    <row r="119" spans="1:13" x14ac:dyDescent="0.3">
      <c r="A119" s="148">
        <v>100</v>
      </c>
      <c r="B119" s="154">
        <f t="shared" si="8"/>
        <v>393.11604782123379</v>
      </c>
      <c r="C119" s="154">
        <f t="shared" si="9"/>
        <v>38.474395578639182</v>
      </c>
      <c r="D119" s="150">
        <f t="shared" si="10"/>
        <v>354.6416522425946</v>
      </c>
      <c r="E119" s="151">
        <f t="shared" si="11"/>
        <v>7470.6591434128331</v>
      </c>
      <c r="H119" s="167">
        <v>99</v>
      </c>
      <c r="I119" s="168" t="s">
        <v>734</v>
      </c>
      <c r="J119" s="169" t="s">
        <v>346</v>
      </c>
      <c r="K119" s="169" t="s">
        <v>735</v>
      </c>
      <c r="L119" s="169" t="s">
        <v>736</v>
      </c>
      <c r="M119" s="170" t="s">
        <v>737</v>
      </c>
    </row>
    <row r="120" spans="1:13" x14ac:dyDescent="0.3">
      <c r="A120" s="143">
        <v>101</v>
      </c>
      <c r="B120" s="152">
        <f t="shared" si="8"/>
        <v>393.11604782123379</v>
      </c>
      <c r="C120" s="152">
        <f t="shared" si="9"/>
        <v>36.730740788446425</v>
      </c>
      <c r="D120" s="152">
        <f t="shared" si="10"/>
        <v>356.38530703278735</v>
      </c>
      <c r="E120" s="153">
        <f t="shared" si="11"/>
        <v>7114.2738363800454</v>
      </c>
      <c r="H120" s="163">
        <v>100</v>
      </c>
      <c r="I120" s="164" t="s">
        <v>738</v>
      </c>
      <c r="J120" s="165" t="s">
        <v>346</v>
      </c>
      <c r="K120" s="165" t="s">
        <v>739</v>
      </c>
      <c r="L120" s="165" t="s">
        <v>740</v>
      </c>
      <c r="M120" s="166" t="s">
        <v>741</v>
      </c>
    </row>
    <row r="121" spans="1:13" x14ac:dyDescent="0.3">
      <c r="A121" s="148">
        <v>102</v>
      </c>
      <c r="B121" s="154">
        <f t="shared" si="8"/>
        <v>393.11604782123379</v>
      </c>
      <c r="C121" s="154">
        <f t="shared" si="9"/>
        <v>34.978513028868555</v>
      </c>
      <c r="D121" s="150">
        <f t="shared" si="10"/>
        <v>358.13753479236522</v>
      </c>
      <c r="E121" s="151">
        <f t="shared" si="11"/>
        <v>6756.1363015876805</v>
      </c>
      <c r="H121" s="167">
        <v>101</v>
      </c>
      <c r="I121" s="168" t="s">
        <v>742</v>
      </c>
      <c r="J121" s="169" t="s">
        <v>346</v>
      </c>
      <c r="K121" s="169" t="s">
        <v>743</v>
      </c>
      <c r="L121" s="169" t="s">
        <v>744</v>
      </c>
      <c r="M121" s="170" t="s">
        <v>745</v>
      </c>
    </row>
    <row r="122" spans="1:13" x14ac:dyDescent="0.3">
      <c r="A122" s="143">
        <v>103</v>
      </c>
      <c r="B122" s="152">
        <f t="shared" si="8"/>
        <v>393.11604782123379</v>
      </c>
      <c r="C122" s="152">
        <f t="shared" si="9"/>
        <v>33.21767014947276</v>
      </c>
      <c r="D122" s="152">
        <f t="shared" si="10"/>
        <v>359.89837767176101</v>
      </c>
      <c r="E122" s="153">
        <f t="shared" si="11"/>
        <v>6396.2379239159191</v>
      </c>
      <c r="H122" s="163">
        <v>102</v>
      </c>
      <c r="I122" s="164" t="s">
        <v>746</v>
      </c>
      <c r="J122" s="165" t="s">
        <v>346</v>
      </c>
      <c r="K122" s="165" t="s">
        <v>747</v>
      </c>
      <c r="L122" s="165" t="s">
        <v>748</v>
      </c>
      <c r="M122" s="166" t="s">
        <v>749</v>
      </c>
    </row>
    <row r="123" spans="1:13" x14ac:dyDescent="0.3">
      <c r="A123" s="148">
        <v>104</v>
      </c>
      <c r="B123" s="154">
        <f t="shared" si="8"/>
        <v>393.11604782123379</v>
      </c>
      <c r="C123" s="154">
        <f t="shared" si="9"/>
        <v>31.448169792586601</v>
      </c>
      <c r="D123" s="150">
        <f t="shared" si="10"/>
        <v>361.66787802864718</v>
      </c>
      <c r="E123" s="151">
        <f t="shared" si="11"/>
        <v>6034.5700458872716</v>
      </c>
      <c r="H123" s="167">
        <v>103</v>
      </c>
      <c r="I123" s="168" t="s">
        <v>750</v>
      </c>
      <c r="J123" s="169" t="s">
        <v>346</v>
      </c>
      <c r="K123" s="169" t="s">
        <v>751</v>
      </c>
      <c r="L123" s="169" t="s">
        <v>752</v>
      </c>
      <c r="M123" s="170" t="s">
        <v>753</v>
      </c>
    </row>
    <row r="124" spans="1:13" x14ac:dyDescent="0.3">
      <c r="A124" s="143">
        <v>105</v>
      </c>
      <c r="B124" s="152">
        <f t="shared" si="8"/>
        <v>393.11604782123379</v>
      </c>
      <c r="C124" s="152">
        <f t="shared" si="9"/>
        <v>29.669969392279082</v>
      </c>
      <c r="D124" s="152">
        <f t="shared" si="10"/>
        <v>363.44607842895471</v>
      </c>
      <c r="E124" s="153">
        <f t="shared" si="11"/>
        <v>5671.1239674583167</v>
      </c>
      <c r="H124" s="163">
        <v>104</v>
      </c>
      <c r="I124" s="164" t="s">
        <v>754</v>
      </c>
      <c r="J124" s="165" t="s">
        <v>346</v>
      </c>
      <c r="K124" s="165" t="s">
        <v>755</v>
      </c>
      <c r="L124" s="165" t="s">
        <v>756</v>
      </c>
      <c r="M124" s="166" t="s">
        <v>757</v>
      </c>
    </row>
    <row r="125" spans="1:13" x14ac:dyDescent="0.3">
      <c r="A125" s="148">
        <v>106</v>
      </c>
      <c r="B125" s="154">
        <f t="shared" si="8"/>
        <v>393.11604782123379</v>
      </c>
      <c r="C125" s="154">
        <f t="shared" si="9"/>
        <v>27.883026173336724</v>
      </c>
      <c r="D125" s="150">
        <f t="shared" si="10"/>
        <v>365.23302164789709</v>
      </c>
      <c r="E125" s="151">
        <f t="shared" si="11"/>
        <v>5305.8909458104199</v>
      </c>
      <c r="H125" s="167">
        <v>105</v>
      </c>
      <c r="I125" s="168" t="s">
        <v>758</v>
      </c>
      <c r="J125" s="169" t="s">
        <v>346</v>
      </c>
      <c r="K125" s="169" t="s">
        <v>759</v>
      </c>
      <c r="L125" s="169" t="s">
        <v>760</v>
      </c>
      <c r="M125" s="170" t="s">
        <v>761</v>
      </c>
    </row>
    <row r="126" spans="1:13" x14ac:dyDescent="0.3">
      <c r="A126" s="143">
        <v>107</v>
      </c>
      <c r="B126" s="152">
        <f t="shared" si="8"/>
        <v>393.11604782123379</v>
      </c>
      <c r="C126" s="152">
        <f t="shared" si="9"/>
        <v>26.087297150234562</v>
      </c>
      <c r="D126" s="152">
        <f t="shared" si="10"/>
        <v>367.02875067099922</v>
      </c>
      <c r="E126" s="153">
        <f t="shared" si="11"/>
        <v>4938.8621951394207</v>
      </c>
      <c r="H126" s="163">
        <v>106</v>
      </c>
      <c r="I126" s="164" t="s">
        <v>762</v>
      </c>
      <c r="J126" s="165" t="s">
        <v>346</v>
      </c>
      <c r="K126" s="165" t="s">
        <v>763</v>
      </c>
      <c r="L126" s="165" t="s">
        <v>764</v>
      </c>
      <c r="M126" s="166" t="s">
        <v>765</v>
      </c>
    </row>
    <row r="127" spans="1:13" x14ac:dyDescent="0.3">
      <c r="A127" s="148">
        <v>108</v>
      </c>
      <c r="B127" s="154">
        <f t="shared" si="8"/>
        <v>393.11604782123379</v>
      </c>
      <c r="C127" s="154">
        <f t="shared" si="9"/>
        <v>24.28273912610215</v>
      </c>
      <c r="D127" s="150">
        <f t="shared" si="10"/>
        <v>368.83330869513162</v>
      </c>
      <c r="E127" s="151">
        <f t="shared" si="11"/>
        <v>4570.0288864442891</v>
      </c>
      <c r="H127" s="167">
        <v>107</v>
      </c>
      <c r="I127" s="168" t="s">
        <v>766</v>
      </c>
      <c r="J127" s="169" t="s">
        <v>346</v>
      </c>
      <c r="K127" s="169" t="s">
        <v>767</v>
      </c>
      <c r="L127" s="169" t="s">
        <v>768</v>
      </c>
      <c r="M127" s="170" t="s">
        <v>769</v>
      </c>
    </row>
    <row r="128" spans="1:13" x14ac:dyDescent="0.3">
      <c r="A128" s="143">
        <v>109</v>
      </c>
      <c r="B128" s="152">
        <f t="shared" si="8"/>
        <v>393.11604782123379</v>
      </c>
      <c r="C128" s="152">
        <f t="shared" si="9"/>
        <v>22.469308691684422</v>
      </c>
      <c r="D128" s="152">
        <f t="shared" si="10"/>
        <v>370.64673912954936</v>
      </c>
      <c r="E128" s="153">
        <f t="shared" si="11"/>
        <v>4199.38214731474</v>
      </c>
      <c r="H128" s="163">
        <v>108</v>
      </c>
      <c r="I128" s="164" t="s">
        <v>770</v>
      </c>
      <c r="J128" s="165" t="s">
        <v>346</v>
      </c>
      <c r="K128" s="165" t="s">
        <v>771</v>
      </c>
      <c r="L128" s="165" t="s">
        <v>772</v>
      </c>
      <c r="M128" s="166" t="s">
        <v>773</v>
      </c>
    </row>
    <row r="129" spans="1:13" x14ac:dyDescent="0.3">
      <c r="A129" s="148">
        <v>110</v>
      </c>
      <c r="B129" s="154">
        <f t="shared" si="8"/>
        <v>393.11604782123379</v>
      </c>
      <c r="C129" s="154">
        <f t="shared" si="9"/>
        <v>20.646962224297472</v>
      </c>
      <c r="D129" s="150">
        <f t="shared" si="10"/>
        <v>372.46908559693634</v>
      </c>
      <c r="E129" s="151">
        <f t="shared" si="11"/>
        <v>3826.9130617178034</v>
      </c>
      <c r="H129" s="167">
        <v>109</v>
      </c>
      <c r="I129" s="168" t="s">
        <v>774</v>
      </c>
      <c r="J129" s="169" t="s">
        <v>346</v>
      </c>
      <c r="K129" s="169" t="s">
        <v>775</v>
      </c>
      <c r="L129" s="169" t="s">
        <v>776</v>
      </c>
      <c r="M129" s="170" t="s">
        <v>777</v>
      </c>
    </row>
    <row r="130" spans="1:13" x14ac:dyDescent="0.3">
      <c r="A130" s="143">
        <v>111</v>
      </c>
      <c r="B130" s="152">
        <f t="shared" si="8"/>
        <v>393.11604782123379</v>
      </c>
      <c r="C130" s="152">
        <f t="shared" si="9"/>
        <v>18.815655886779201</v>
      </c>
      <c r="D130" s="152">
        <f t="shared" si="10"/>
        <v>374.30039193445458</v>
      </c>
      <c r="E130" s="153">
        <f t="shared" si="11"/>
        <v>3452.6126697833488</v>
      </c>
      <c r="H130" s="163">
        <v>110</v>
      </c>
      <c r="I130" s="164" t="s">
        <v>778</v>
      </c>
      <c r="J130" s="165" t="s">
        <v>346</v>
      </c>
      <c r="K130" s="165" t="s">
        <v>779</v>
      </c>
      <c r="L130" s="165" t="s">
        <v>780</v>
      </c>
      <c r="M130" s="166" t="s">
        <v>781</v>
      </c>
    </row>
    <row r="131" spans="1:13" x14ac:dyDescent="0.3">
      <c r="A131" s="148">
        <v>112</v>
      </c>
      <c r="B131" s="154">
        <f t="shared" si="8"/>
        <v>393.11604782123379</v>
      </c>
      <c r="C131" s="154">
        <f t="shared" si="9"/>
        <v>16.975345626434798</v>
      </c>
      <c r="D131" s="150">
        <f t="shared" si="10"/>
        <v>376.14070219479902</v>
      </c>
      <c r="E131" s="151">
        <f t="shared" si="11"/>
        <v>3076.4719675885499</v>
      </c>
      <c r="H131" s="167">
        <v>111</v>
      </c>
      <c r="I131" s="168" t="s">
        <v>782</v>
      </c>
      <c r="J131" s="169" t="s">
        <v>346</v>
      </c>
      <c r="K131" s="169" t="s">
        <v>783</v>
      </c>
      <c r="L131" s="169" t="s">
        <v>784</v>
      </c>
      <c r="M131" s="170" t="s">
        <v>785</v>
      </c>
    </row>
    <row r="132" spans="1:13" x14ac:dyDescent="0.3">
      <c r="A132" s="143">
        <v>113</v>
      </c>
      <c r="B132" s="152">
        <f t="shared" si="8"/>
        <v>393.11604782123379</v>
      </c>
      <c r="C132" s="152">
        <f t="shared" si="9"/>
        <v>15.125987173977036</v>
      </c>
      <c r="D132" s="152">
        <f t="shared" si="10"/>
        <v>377.99006064725677</v>
      </c>
      <c r="E132" s="153">
        <f t="shared" si="11"/>
        <v>2698.4819069412933</v>
      </c>
      <c r="H132" s="163">
        <v>112</v>
      </c>
      <c r="I132" s="164" t="s">
        <v>786</v>
      </c>
      <c r="J132" s="165" t="s">
        <v>346</v>
      </c>
      <c r="K132" s="165" t="s">
        <v>787</v>
      </c>
      <c r="L132" s="165" t="s">
        <v>788</v>
      </c>
      <c r="M132" s="166" t="s">
        <v>789</v>
      </c>
    </row>
    <row r="133" spans="1:13" x14ac:dyDescent="0.3">
      <c r="A133" s="148">
        <v>114</v>
      </c>
      <c r="B133" s="154">
        <f t="shared" si="8"/>
        <v>393.11604782123379</v>
      </c>
      <c r="C133" s="154">
        <f t="shared" si="9"/>
        <v>13.267536042461359</v>
      </c>
      <c r="D133" s="150">
        <f t="shared" si="10"/>
        <v>379.84851177877243</v>
      </c>
      <c r="E133" s="151">
        <f t="shared" si="11"/>
        <v>2318.6333951625211</v>
      </c>
      <c r="H133" s="167">
        <v>113</v>
      </c>
      <c r="I133" s="168" t="s">
        <v>790</v>
      </c>
      <c r="J133" s="169" t="s">
        <v>346</v>
      </c>
      <c r="K133" s="169" t="s">
        <v>791</v>
      </c>
      <c r="L133" s="169" t="s">
        <v>792</v>
      </c>
      <c r="M133" s="170" t="s">
        <v>793</v>
      </c>
    </row>
    <row r="134" spans="1:13" x14ac:dyDescent="0.3">
      <c r="A134" s="143">
        <v>115</v>
      </c>
      <c r="B134" s="152">
        <f t="shared" si="8"/>
        <v>393.11604782123379</v>
      </c>
      <c r="C134" s="152">
        <f t="shared" si="9"/>
        <v>11.399947526215728</v>
      </c>
      <c r="D134" s="152">
        <f t="shared" si="10"/>
        <v>381.71610029501807</v>
      </c>
      <c r="E134" s="153">
        <f t="shared" si="11"/>
        <v>1936.917294867503</v>
      </c>
      <c r="H134" s="163">
        <v>114</v>
      </c>
      <c r="I134" s="164" t="s">
        <v>794</v>
      </c>
      <c r="J134" s="165" t="s">
        <v>346</v>
      </c>
      <c r="K134" s="165" t="s">
        <v>795</v>
      </c>
      <c r="L134" s="165" t="s">
        <v>796</v>
      </c>
      <c r="M134" s="166" t="s">
        <v>797</v>
      </c>
    </row>
    <row r="135" spans="1:13" x14ac:dyDescent="0.3">
      <c r="A135" s="148">
        <v>116</v>
      </c>
      <c r="B135" s="154">
        <f t="shared" si="8"/>
        <v>393.11604782123379</v>
      </c>
      <c r="C135" s="154">
        <f t="shared" si="9"/>
        <v>9.523176699765223</v>
      </c>
      <c r="D135" s="150">
        <f t="shared" si="10"/>
        <v>383.59287112146859</v>
      </c>
      <c r="E135" s="151">
        <f t="shared" si="11"/>
        <v>1553.3244237460344</v>
      </c>
      <c r="H135" s="167">
        <v>115</v>
      </c>
      <c r="I135" s="168" t="s">
        <v>798</v>
      </c>
      <c r="J135" s="169" t="s">
        <v>346</v>
      </c>
      <c r="K135" s="169" t="s">
        <v>799</v>
      </c>
      <c r="L135" s="169" t="s">
        <v>800</v>
      </c>
      <c r="M135" s="170" t="s">
        <v>801</v>
      </c>
    </row>
    <row r="136" spans="1:13" x14ac:dyDescent="0.3">
      <c r="A136" s="143">
        <v>117</v>
      </c>
      <c r="B136" s="152">
        <f t="shared" si="8"/>
        <v>393.11604782123379</v>
      </c>
      <c r="C136" s="152">
        <f t="shared" si="9"/>
        <v>7.6371784167513352</v>
      </c>
      <c r="D136" s="152">
        <f t="shared" si="10"/>
        <v>385.47886940448245</v>
      </c>
      <c r="E136" s="153">
        <f t="shared" si="11"/>
        <v>1167.8455543415521</v>
      </c>
      <c r="H136" s="163">
        <v>116</v>
      </c>
      <c r="I136" s="164" t="s">
        <v>802</v>
      </c>
      <c r="J136" s="165" t="s">
        <v>346</v>
      </c>
      <c r="K136" s="165" t="s">
        <v>803</v>
      </c>
      <c r="L136" s="165" t="s">
        <v>804</v>
      </c>
      <c r="M136" s="166" t="s">
        <v>805</v>
      </c>
    </row>
    <row r="137" spans="1:13" x14ac:dyDescent="0.3">
      <c r="A137" s="148">
        <v>118</v>
      </c>
      <c r="B137" s="154">
        <f t="shared" si="8"/>
        <v>393.11604782123379</v>
      </c>
      <c r="C137" s="154">
        <f t="shared" si="9"/>
        <v>5.7419073088459642</v>
      </c>
      <c r="D137" s="150">
        <f t="shared" si="10"/>
        <v>387.37414051238784</v>
      </c>
      <c r="E137" s="151">
        <f t="shared" si="11"/>
        <v>780.47141382916425</v>
      </c>
      <c r="H137" s="167">
        <v>117</v>
      </c>
      <c r="I137" s="168" t="s">
        <v>806</v>
      </c>
      <c r="J137" s="169" t="s">
        <v>346</v>
      </c>
      <c r="K137" s="169" t="s">
        <v>807</v>
      </c>
      <c r="L137" s="169" t="s">
        <v>808</v>
      </c>
      <c r="M137" s="170" t="s">
        <v>809</v>
      </c>
    </row>
    <row r="138" spans="1:13" x14ac:dyDescent="0.3">
      <c r="A138" s="143">
        <v>119</v>
      </c>
      <c r="B138" s="152">
        <f t="shared" si="8"/>
        <v>393.11604782123379</v>
      </c>
      <c r="C138" s="152">
        <f t="shared" si="9"/>
        <v>3.8373177846600575</v>
      </c>
      <c r="D138" s="152">
        <f t="shared" si="10"/>
        <v>389.27873003657373</v>
      </c>
      <c r="E138" s="153">
        <f t="shared" si="11"/>
        <v>391.19268379259051</v>
      </c>
      <c r="H138" s="163">
        <v>118</v>
      </c>
      <c r="I138" s="164" t="s">
        <v>810</v>
      </c>
      <c r="J138" s="165" t="s">
        <v>346</v>
      </c>
      <c r="K138" s="165" t="s">
        <v>811</v>
      </c>
      <c r="L138" s="165" t="s">
        <v>812</v>
      </c>
      <c r="M138" s="166" t="s">
        <v>813</v>
      </c>
    </row>
    <row r="139" spans="1:13" x14ac:dyDescent="0.3">
      <c r="A139" s="148">
        <v>120</v>
      </c>
      <c r="B139" s="154">
        <f t="shared" si="8"/>
        <v>393.11604782123379</v>
      </c>
      <c r="C139" s="154">
        <f t="shared" si="9"/>
        <v>1.9233640286469034</v>
      </c>
      <c r="D139" s="150">
        <f t="shared" si="10"/>
        <v>391.19268379258688</v>
      </c>
      <c r="E139" s="151">
        <f t="shared" si="11"/>
        <v>3.637978807091713E-12</v>
      </c>
      <c r="H139" s="167">
        <v>119</v>
      </c>
      <c r="I139" s="168" t="s">
        <v>814</v>
      </c>
      <c r="J139" s="169" t="s">
        <v>346</v>
      </c>
      <c r="K139" s="169" t="s">
        <v>815</v>
      </c>
      <c r="L139" s="169" t="s">
        <v>816</v>
      </c>
      <c r="M139" s="170" t="s">
        <v>817</v>
      </c>
    </row>
    <row r="140" spans="1:13" x14ac:dyDescent="0.3">
      <c r="H140" s="163">
        <v>120</v>
      </c>
      <c r="I140" s="164" t="s">
        <v>818</v>
      </c>
      <c r="J140" s="165" t="s">
        <v>346</v>
      </c>
      <c r="K140" s="165" t="s">
        <v>819</v>
      </c>
      <c r="L140" s="165" t="s">
        <v>820</v>
      </c>
      <c r="M140" s="166" t="s">
        <v>821</v>
      </c>
    </row>
    <row r="141" spans="1:13" x14ac:dyDescent="0.3">
      <c r="H141" s="171">
        <v>121</v>
      </c>
      <c r="I141" s="172" t="s">
        <v>822</v>
      </c>
      <c r="J141" s="173" t="s">
        <v>346</v>
      </c>
      <c r="K141" s="173" t="s">
        <v>821</v>
      </c>
      <c r="L141" s="173" t="s">
        <v>823</v>
      </c>
      <c r="M141" s="174" t="s">
        <v>341</v>
      </c>
    </row>
  </sheetData>
  <mergeCells count="16">
    <mergeCell ref="A1:C1"/>
    <mergeCell ref="A17:E17"/>
    <mergeCell ref="H17:M17"/>
    <mergeCell ref="A15:B15"/>
    <mergeCell ref="A9:B9"/>
    <mergeCell ref="A10:B10"/>
    <mergeCell ref="A11:B11"/>
    <mergeCell ref="A12:B12"/>
    <mergeCell ref="A13:B13"/>
    <mergeCell ref="A14:B14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K31"/>
  <sheetViews>
    <sheetView topLeftCell="B3" zoomScale="93" zoomScaleNormal="82" workbookViewId="0">
      <selection sqref="A1:E1"/>
    </sheetView>
  </sheetViews>
  <sheetFormatPr defaultRowHeight="14.4" x14ac:dyDescent="0.3"/>
  <cols>
    <col min="1" max="1" width="30.33203125" customWidth="1"/>
    <col min="2" max="2" width="14.77734375" customWidth="1"/>
    <col min="3" max="3" width="16" customWidth="1"/>
    <col min="4" max="4" width="23.44140625" customWidth="1"/>
    <col min="5" max="5" width="23.21875" customWidth="1"/>
    <col min="6" max="6" width="15.33203125" customWidth="1"/>
    <col min="7" max="7" width="31.77734375" customWidth="1"/>
    <col min="8" max="8" width="15.44140625" customWidth="1"/>
    <col min="9" max="9" width="18.109375" customWidth="1"/>
    <col min="10" max="10" width="31.6640625" customWidth="1"/>
    <col min="11" max="11" width="22.77734375" customWidth="1"/>
    <col min="12" max="12" width="15.33203125" customWidth="1"/>
  </cols>
  <sheetData>
    <row r="1" spans="1:11" x14ac:dyDescent="0.3">
      <c r="A1" s="336" t="s">
        <v>102</v>
      </c>
      <c r="B1" s="336"/>
      <c r="C1" s="336"/>
      <c r="D1" s="336"/>
      <c r="E1" s="336"/>
      <c r="G1" s="310" t="s">
        <v>110</v>
      </c>
      <c r="H1" s="310"/>
      <c r="I1" s="310"/>
      <c r="J1" s="310"/>
      <c r="K1" s="310"/>
    </row>
    <row r="2" spans="1:11" x14ac:dyDescent="0.3">
      <c r="A2" s="67" t="s">
        <v>0</v>
      </c>
      <c r="B2" s="12" t="s">
        <v>70</v>
      </c>
      <c r="C2" s="12" t="s">
        <v>103</v>
      </c>
      <c r="D2" s="12" t="s">
        <v>104</v>
      </c>
      <c r="E2" s="12" t="s">
        <v>105</v>
      </c>
      <c r="G2" s="58" t="s">
        <v>82</v>
      </c>
      <c r="H2" s="45" t="s">
        <v>83</v>
      </c>
      <c r="I2" s="45" t="s">
        <v>84</v>
      </c>
      <c r="J2" s="45" t="s">
        <v>85</v>
      </c>
      <c r="K2" s="45" t="s">
        <v>86</v>
      </c>
    </row>
    <row r="3" spans="1:11" x14ac:dyDescent="0.3">
      <c r="A3" s="105" t="s">
        <v>106</v>
      </c>
      <c r="B3" s="33" t="s">
        <v>107</v>
      </c>
      <c r="C3" s="27">
        <v>70000</v>
      </c>
      <c r="D3" s="81">
        <v>0.12</v>
      </c>
      <c r="E3" s="81">
        <f>C3*D3</f>
        <v>8400</v>
      </c>
      <c r="G3" s="61" t="s">
        <v>183</v>
      </c>
      <c r="H3" s="62">
        <v>1</v>
      </c>
      <c r="I3" s="63">
        <v>1300</v>
      </c>
      <c r="J3" s="65">
        <v>1921.97</v>
      </c>
      <c r="K3" s="64">
        <f>J3*12*H3</f>
        <v>23063.64</v>
      </c>
    </row>
    <row r="4" spans="1:11" ht="16.2" x14ac:dyDescent="0.3">
      <c r="A4" s="105" t="s">
        <v>108</v>
      </c>
      <c r="B4" s="33" t="s">
        <v>109</v>
      </c>
      <c r="C4" s="27">
        <v>1000</v>
      </c>
      <c r="D4" s="26">
        <v>2</v>
      </c>
      <c r="E4" s="81">
        <f>C4*D4</f>
        <v>2000</v>
      </c>
      <c r="G4" s="19" t="s">
        <v>854</v>
      </c>
      <c r="H4" s="62">
        <v>2</v>
      </c>
      <c r="I4" s="63">
        <v>900</v>
      </c>
      <c r="J4" s="65">
        <v>1185.72</v>
      </c>
      <c r="K4" s="64">
        <f>J4*12*H4</f>
        <v>28457.279999999999</v>
      </c>
    </row>
    <row r="5" spans="1:11" x14ac:dyDescent="0.3">
      <c r="A5" s="77"/>
      <c r="B5" s="77"/>
      <c r="C5" s="78"/>
      <c r="D5" s="79" t="s">
        <v>88</v>
      </c>
      <c r="E5" s="80">
        <f>SUM(E1:E4)</f>
        <v>10400</v>
      </c>
      <c r="G5" s="61" t="s">
        <v>87</v>
      </c>
      <c r="H5" s="62">
        <v>1</v>
      </c>
      <c r="I5" s="63">
        <v>900</v>
      </c>
      <c r="J5" s="65">
        <v>1185.72</v>
      </c>
      <c r="K5" s="64">
        <f>J5*12*H5</f>
        <v>14228.64</v>
      </c>
    </row>
    <row r="6" spans="1:11" x14ac:dyDescent="0.3">
      <c r="I6" s="136"/>
      <c r="J6" s="59" t="s">
        <v>88</v>
      </c>
      <c r="K6" s="60">
        <f>SUM(K3:K5)</f>
        <v>65749.56</v>
      </c>
    </row>
    <row r="8" spans="1:11" x14ac:dyDescent="0.3">
      <c r="A8" s="336" t="s">
        <v>121</v>
      </c>
      <c r="B8" s="336"/>
      <c r="C8" s="336"/>
      <c r="D8" s="336"/>
      <c r="E8" s="336"/>
      <c r="G8" s="316" t="s">
        <v>90</v>
      </c>
      <c r="H8" s="317"/>
      <c r="I8" s="317"/>
      <c r="J8" s="318"/>
    </row>
    <row r="9" spans="1:11" x14ac:dyDescent="0.3">
      <c r="A9" s="29" t="s">
        <v>0</v>
      </c>
      <c r="B9" s="12" t="s">
        <v>70</v>
      </c>
      <c r="C9" s="29" t="s">
        <v>103</v>
      </c>
      <c r="D9" s="12" t="s">
        <v>104</v>
      </c>
      <c r="E9" s="12" t="s">
        <v>105</v>
      </c>
      <c r="G9" s="66" t="s">
        <v>82</v>
      </c>
      <c r="H9" s="66"/>
      <c r="I9" s="12" t="s">
        <v>183</v>
      </c>
      <c r="J9" s="12" t="s">
        <v>869</v>
      </c>
    </row>
    <row r="10" spans="1:11" x14ac:dyDescent="0.3">
      <c r="A10" s="32" t="s">
        <v>120</v>
      </c>
      <c r="B10" s="33" t="s">
        <v>122</v>
      </c>
      <c r="C10" s="32">
        <v>25000</v>
      </c>
      <c r="D10" s="83">
        <v>0.5</v>
      </c>
      <c r="E10" s="26">
        <f>C10*D10</f>
        <v>12500</v>
      </c>
      <c r="G10" s="29" t="s">
        <v>85</v>
      </c>
      <c r="H10" s="15"/>
      <c r="I10" s="71">
        <v>1921.97</v>
      </c>
      <c r="J10" s="71">
        <v>1267.52</v>
      </c>
    </row>
    <row r="11" spans="1:11" x14ac:dyDescent="0.3">
      <c r="D11" s="67" t="s">
        <v>117</v>
      </c>
      <c r="E11" s="82">
        <f>E10</f>
        <v>12500</v>
      </c>
      <c r="G11" s="66" t="s">
        <v>91</v>
      </c>
      <c r="H11" s="70">
        <v>0.15</v>
      </c>
      <c r="I11" s="68">
        <f>I10*H11</f>
        <v>288.2955</v>
      </c>
      <c r="J11" s="68">
        <f>J10*H11</f>
        <v>190.12799999999999</v>
      </c>
    </row>
    <row r="12" spans="1:11" x14ac:dyDescent="0.3">
      <c r="G12" s="66" t="s">
        <v>92</v>
      </c>
      <c r="H12" s="70">
        <v>0.05</v>
      </c>
      <c r="I12" s="68">
        <f>I10*H12</f>
        <v>96.098500000000001</v>
      </c>
      <c r="J12" s="68">
        <f>J10*H12</f>
        <v>63.376000000000005</v>
      </c>
    </row>
    <row r="13" spans="1:11" x14ac:dyDescent="0.3">
      <c r="G13" s="29" t="s">
        <v>93</v>
      </c>
      <c r="H13" s="70">
        <v>0.2</v>
      </c>
      <c r="I13" s="71">
        <f>I10*H13</f>
        <v>384.39400000000001</v>
      </c>
      <c r="J13" s="71">
        <f>J10*H13</f>
        <v>253.50400000000002</v>
      </c>
    </row>
    <row r="14" spans="1:11" x14ac:dyDescent="0.3">
      <c r="A14" s="336" t="s">
        <v>174</v>
      </c>
      <c r="B14" s="336"/>
      <c r="C14" s="336"/>
      <c r="D14" s="336"/>
      <c r="E14" s="336"/>
      <c r="G14" s="46" t="s">
        <v>98</v>
      </c>
      <c r="H14" s="69"/>
      <c r="I14" s="68">
        <v>530.89</v>
      </c>
      <c r="J14" s="68">
        <v>530.89</v>
      </c>
    </row>
    <row r="15" spans="1:11" x14ac:dyDescent="0.3">
      <c r="A15" s="29" t="s">
        <v>0</v>
      </c>
      <c r="B15" s="12" t="s">
        <v>70</v>
      </c>
      <c r="C15" s="29" t="s">
        <v>103</v>
      </c>
      <c r="D15" s="12" t="s">
        <v>104</v>
      </c>
      <c r="E15" s="12" t="s">
        <v>105</v>
      </c>
      <c r="G15" s="29" t="s">
        <v>94</v>
      </c>
      <c r="H15" s="69"/>
      <c r="I15" s="71">
        <v>1006.69</v>
      </c>
      <c r="J15" s="71">
        <v>483.13</v>
      </c>
    </row>
    <row r="16" spans="1:11" x14ac:dyDescent="0.3">
      <c r="A16" s="32" t="s">
        <v>65</v>
      </c>
      <c r="B16" s="33" t="s">
        <v>66</v>
      </c>
      <c r="C16" s="32">
        <v>1</v>
      </c>
      <c r="D16" s="83">
        <v>5000</v>
      </c>
      <c r="E16" s="26">
        <f>C16*D16</f>
        <v>5000</v>
      </c>
      <c r="G16" s="46" t="s">
        <v>95</v>
      </c>
      <c r="H16" s="69"/>
      <c r="I16" s="68">
        <v>201.34</v>
      </c>
      <c r="J16" s="68">
        <v>96.62</v>
      </c>
    </row>
    <row r="17" spans="1:11" x14ac:dyDescent="0.3">
      <c r="D17" s="67" t="s">
        <v>117</v>
      </c>
      <c r="E17" s="82">
        <f>E16</f>
        <v>5000</v>
      </c>
      <c r="G17" s="46" t="s">
        <v>96</v>
      </c>
      <c r="H17" s="70">
        <v>0.18</v>
      </c>
      <c r="I17" s="68">
        <f>I16*H17</f>
        <v>36.241199999999999</v>
      </c>
      <c r="J17" s="68">
        <f>J16*H17</f>
        <v>17.3916</v>
      </c>
    </row>
    <row r="18" spans="1:11" x14ac:dyDescent="0.3">
      <c r="G18" s="67" t="s">
        <v>97</v>
      </c>
      <c r="H18" s="15"/>
      <c r="I18" s="71">
        <f>I16+I17</f>
        <v>237.5812</v>
      </c>
      <c r="J18" s="71">
        <f>J16+J17</f>
        <v>114.0116</v>
      </c>
    </row>
    <row r="19" spans="1:11" x14ac:dyDescent="0.3">
      <c r="G19" s="29" t="s">
        <v>99</v>
      </c>
      <c r="H19" s="15"/>
      <c r="I19" s="71">
        <v>2239.1</v>
      </c>
      <c r="J19" s="71">
        <v>1476.66</v>
      </c>
    </row>
    <row r="20" spans="1:11" ht="15" customHeight="1" x14ac:dyDescent="0.3">
      <c r="A20" s="336" t="s">
        <v>863</v>
      </c>
      <c r="B20" s="336"/>
      <c r="C20" s="336"/>
      <c r="D20" s="336"/>
      <c r="E20" s="336"/>
      <c r="G20" s="18" t="s">
        <v>100</v>
      </c>
      <c r="H20" s="56">
        <v>0.16500000000000001</v>
      </c>
      <c r="I20" s="74">
        <f>I10*H20</f>
        <v>317.12505000000004</v>
      </c>
      <c r="J20" s="74">
        <f>J10*H20</f>
        <v>209.14080000000001</v>
      </c>
    </row>
    <row r="21" spans="1:11" x14ac:dyDescent="0.3">
      <c r="A21" s="67" t="s">
        <v>0</v>
      </c>
      <c r="B21" s="12" t="s">
        <v>70</v>
      </c>
      <c r="C21" s="12" t="s">
        <v>103</v>
      </c>
      <c r="D21" s="12" t="s">
        <v>104</v>
      </c>
      <c r="E21" s="12" t="s">
        <v>105</v>
      </c>
      <c r="G21" s="76" t="s">
        <v>101</v>
      </c>
      <c r="H21" s="19"/>
      <c r="I21" s="75">
        <f>I20</f>
        <v>317.12505000000004</v>
      </c>
      <c r="J21" s="75">
        <f>J20</f>
        <v>209.14080000000001</v>
      </c>
    </row>
    <row r="22" spans="1:11" x14ac:dyDescent="0.3">
      <c r="A22" s="84" t="s">
        <v>123</v>
      </c>
      <c r="B22" s="85" t="s">
        <v>124</v>
      </c>
      <c r="C22" s="84">
        <v>2160</v>
      </c>
      <c r="D22" s="81">
        <v>1.32</v>
      </c>
      <c r="E22" s="26">
        <f>C22*D22</f>
        <v>2851.2000000000003</v>
      </c>
      <c r="G22" s="29" t="s">
        <v>84</v>
      </c>
      <c r="H22" s="72"/>
      <c r="I22" s="73">
        <v>1300</v>
      </c>
      <c r="J22" s="73">
        <v>900</v>
      </c>
    </row>
    <row r="23" spans="1:11" x14ac:dyDescent="0.3">
      <c r="A23" s="84" t="s">
        <v>112</v>
      </c>
      <c r="B23" s="85" t="s">
        <v>66</v>
      </c>
      <c r="C23" s="84">
        <v>1</v>
      </c>
      <c r="D23" s="26">
        <v>160</v>
      </c>
      <c r="E23" s="26">
        <f>C23*D23</f>
        <v>160</v>
      </c>
    </row>
    <row r="24" spans="1:11" x14ac:dyDescent="0.3">
      <c r="A24" s="272" t="s">
        <v>864</v>
      </c>
      <c r="B24" s="113" t="s">
        <v>66</v>
      </c>
      <c r="C24" s="27">
        <v>1</v>
      </c>
      <c r="D24" s="26">
        <v>120</v>
      </c>
      <c r="E24" s="81">
        <f>C24*D24</f>
        <v>120</v>
      </c>
    </row>
    <row r="25" spans="1:11" x14ac:dyDescent="0.3">
      <c r="A25" s="272" t="s">
        <v>865</v>
      </c>
      <c r="B25" s="113" t="s">
        <v>866</v>
      </c>
      <c r="C25" s="27">
        <v>48</v>
      </c>
      <c r="D25" s="26">
        <v>3</v>
      </c>
      <c r="E25" s="81">
        <f>C25*D25</f>
        <v>144</v>
      </c>
      <c r="G25" s="316" t="s">
        <v>111</v>
      </c>
      <c r="H25" s="317"/>
      <c r="I25" s="317"/>
      <c r="J25" s="317"/>
      <c r="K25" s="318"/>
    </row>
    <row r="26" spans="1:11" x14ac:dyDescent="0.3">
      <c r="A26" s="77"/>
      <c r="B26" s="77"/>
      <c r="C26" s="78"/>
      <c r="D26" s="79" t="s">
        <v>88</v>
      </c>
      <c r="E26" s="80">
        <f>SUM(E20:E24)</f>
        <v>3131.2000000000003</v>
      </c>
      <c r="G26" s="67" t="s">
        <v>0</v>
      </c>
      <c r="H26" s="12" t="s">
        <v>70</v>
      </c>
      <c r="I26" s="12" t="s">
        <v>103</v>
      </c>
      <c r="J26" s="12" t="s">
        <v>104</v>
      </c>
      <c r="K26" s="12" t="s">
        <v>105</v>
      </c>
    </row>
    <row r="27" spans="1:11" x14ac:dyDescent="0.3">
      <c r="G27" s="281" t="s">
        <v>867</v>
      </c>
      <c r="H27" s="33" t="s">
        <v>113</v>
      </c>
      <c r="I27" s="32">
        <v>12</v>
      </c>
      <c r="J27" s="26">
        <v>50</v>
      </c>
      <c r="K27" s="26">
        <f>I27*J27</f>
        <v>600</v>
      </c>
    </row>
    <row r="28" spans="1:11" ht="15" customHeight="1" x14ac:dyDescent="0.3">
      <c r="D28" s="337" t="s">
        <v>877</v>
      </c>
      <c r="E28" s="339">
        <f>K6+E5+K31+E11+E17+E26</f>
        <v>99228.76</v>
      </c>
      <c r="G28" s="32" t="s">
        <v>112</v>
      </c>
      <c r="H28" s="33" t="s">
        <v>113</v>
      </c>
      <c r="I28" s="32">
        <v>12</v>
      </c>
      <c r="J28" s="26">
        <v>22</v>
      </c>
      <c r="K28" s="26">
        <f>I28*J28</f>
        <v>264</v>
      </c>
    </row>
    <row r="29" spans="1:11" ht="16.2" x14ac:dyDescent="0.3">
      <c r="D29" s="338"/>
      <c r="E29" s="339"/>
      <c r="G29" s="33" t="s">
        <v>114</v>
      </c>
      <c r="H29" s="33" t="s">
        <v>115</v>
      </c>
      <c r="I29" s="32">
        <v>1200</v>
      </c>
      <c r="J29" s="81">
        <v>0.12</v>
      </c>
      <c r="K29" s="81">
        <f>I29*J29</f>
        <v>144</v>
      </c>
    </row>
    <row r="30" spans="1:11" x14ac:dyDescent="0.3">
      <c r="D30" s="334" t="s">
        <v>876</v>
      </c>
      <c r="E30" s="335">
        <f>E28+Namirnice!G41</f>
        <v>152909.28760777321</v>
      </c>
      <c r="G30" s="32" t="s">
        <v>116</v>
      </c>
      <c r="H30" s="33" t="s">
        <v>113</v>
      </c>
      <c r="I30" s="32">
        <v>12</v>
      </c>
      <c r="J30" s="26">
        <v>120</v>
      </c>
      <c r="K30" s="26">
        <f>I30*J30</f>
        <v>1440</v>
      </c>
    </row>
    <row r="31" spans="1:11" ht="18.600000000000001" customHeight="1" x14ac:dyDescent="0.3">
      <c r="D31" s="334"/>
      <c r="E31" s="335"/>
      <c r="J31" s="67" t="s">
        <v>117</v>
      </c>
      <c r="K31" s="82">
        <f>SUM(K27:K30)</f>
        <v>2448</v>
      </c>
    </row>
  </sheetData>
  <mergeCells count="11">
    <mergeCell ref="D30:D31"/>
    <mergeCell ref="E30:E31"/>
    <mergeCell ref="G1:K1"/>
    <mergeCell ref="A20:E20"/>
    <mergeCell ref="G25:K25"/>
    <mergeCell ref="A8:E8"/>
    <mergeCell ref="A14:E14"/>
    <mergeCell ref="A1:E1"/>
    <mergeCell ref="G8:J8"/>
    <mergeCell ref="D28:D29"/>
    <mergeCell ref="E28:E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M31"/>
  <sheetViews>
    <sheetView zoomScale="85" zoomScaleNormal="85" workbookViewId="0">
      <selection activeCell="D11" sqref="D11"/>
    </sheetView>
  </sheetViews>
  <sheetFormatPr defaultRowHeight="14.4" x14ac:dyDescent="0.3"/>
  <cols>
    <col min="1" max="1" width="28.21875" customWidth="1"/>
    <col min="4" max="13" width="18.77734375" customWidth="1"/>
  </cols>
  <sheetData>
    <row r="1" spans="1:13" x14ac:dyDescent="0.3">
      <c r="A1" s="12" t="s">
        <v>160</v>
      </c>
      <c r="B1" s="47"/>
      <c r="C1" s="47"/>
      <c r="D1" s="12">
        <v>2024</v>
      </c>
      <c r="E1" s="12">
        <v>2025</v>
      </c>
      <c r="F1" s="12">
        <v>2026</v>
      </c>
      <c r="G1" s="12">
        <v>2027</v>
      </c>
      <c r="H1" s="12">
        <v>2028</v>
      </c>
      <c r="I1" s="12">
        <v>2029</v>
      </c>
      <c r="J1" s="12">
        <v>2030</v>
      </c>
      <c r="K1" s="12">
        <v>2031</v>
      </c>
      <c r="L1" s="12">
        <v>2032</v>
      </c>
      <c r="M1" s="176">
        <v>2033</v>
      </c>
    </row>
    <row r="2" spans="1:13" x14ac:dyDescent="0.3">
      <c r="A2" s="12" t="s">
        <v>161</v>
      </c>
      <c r="B2" s="12" t="s">
        <v>162</v>
      </c>
      <c r="C2" s="12" t="s">
        <v>163</v>
      </c>
      <c r="D2" s="119" t="s">
        <v>164</v>
      </c>
      <c r="E2" s="119" t="s">
        <v>164</v>
      </c>
      <c r="F2" s="119" t="s">
        <v>164</v>
      </c>
      <c r="G2" s="119" t="s">
        <v>164</v>
      </c>
      <c r="H2" s="119" t="s">
        <v>164</v>
      </c>
      <c r="I2" s="119" t="s">
        <v>164</v>
      </c>
      <c r="J2" s="119" t="s">
        <v>164</v>
      </c>
      <c r="K2" s="119" t="s">
        <v>164</v>
      </c>
      <c r="L2" s="120" t="s">
        <v>164</v>
      </c>
      <c r="M2" s="119" t="s">
        <v>164</v>
      </c>
    </row>
    <row r="3" spans="1:13" x14ac:dyDescent="0.3">
      <c r="A3" s="268" t="s">
        <v>868</v>
      </c>
      <c r="B3" s="49">
        <v>15</v>
      </c>
      <c r="C3" s="49">
        <f>360/B3</f>
        <v>24</v>
      </c>
      <c r="D3" s="293">
        <f>RDG!B5</f>
        <v>53680.527607773227</v>
      </c>
      <c r="E3" s="293">
        <f>RDG!C5</f>
        <v>55290.943436006426</v>
      </c>
      <c r="F3" s="293">
        <f>RDG!D5</f>
        <v>56949.671739086618</v>
      </c>
      <c r="G3" s="293">
        <f>RDG!E5</f>
        <v>58658.161891259217</v>
      </c>
      <c r="H3" s="293">
        <f>RDG!F5</f>
        <v>61004.488366909587</v>
      </c>
      <c r="I3" s="293">
        <f>RDG!G5</f>
        <v>63444.66790158597</v>
      </c>
      <c r="J3" s="293">
        <f>RDG!H5</f>
        <v>65982.454617649404</v>
      </c>
      <c r="K3" s="293">
        <f>RDG!I5</f>
        <v>68621.75280235539</v>
      </c>
      <c r="L3" s="293">
        <f>RDG!J5</f>
        <v>71366.622914449603</v>
      </c>
      <c r="M3" s="286">
        <f>RDG!K5</f>
        <v>74221.287831027585</v>
      </c>
    </row>
    <row r="4" spans="1:13" x14ac:dyDescent="0.3">
      <c r="A4" s="268" t="s">
        <v>880</v>
      </c>
      <c r="B4" s="49">
        <v>3</v>
      </c>
      <c r="C4" s="49">
        <f>360/B4</f>
        <v>120</v>
      </c>
      <c r="D4" s="294">
        <f>SUM(RDG!B5:B11)</f>
        <v>152909.28760777324</v>
      </c>
      <c r="E4" s="294">
        <f>SUM(RDG!C5:C11)</f>
        <v>154831.70343600644</v>
      </c>
      <c r="F4" s="294">
        <f>SUM(RDG!D5:D11)</f>
        <v>156811.79173908662</v>
      </c>
      <c r="G4" s="294">
        <f>SUM(RDG!E5:E11)</f>
        <v>158851.28269125923</v>
      </c>
      <c r="H4" s="294">
        <f>SUM(RDG!F5:F11)</f>
        <v>161538.5399909096</v>
      </c>
      <c r="I4" s="294">
        <f>SUM(RDG!G5:G11)</f>
        <v>164446.93119054596</v>
      </c>
      <c r="J4" s="294">
        <f>SUM(RDG!H5:H11)</f>
        <v>167471.65803816781</v>
      </c>
      <c r="K4" s="294">
        <f>SUM(RDG!I5:I11)</f>
        <v>170617.37395969452</v>
      </c>
      <c r="L4" s="294">
        <f>SUM(RDG!J5:J11)</f>
        <v>173888.9185180823</v>
      </c>
      <c r="M4" s="294">
        <f>SUM(RDG!K5:K11)</f>
        <v>177291.3248588056</v>
      </c>
    </row>
    <row r="5" spans="1:13" x14ac:dyDescent="0.3">
      <c r="A5" s="53" t="s">
        <v>165</v>
      </c>
      <c r="B5" s="49">
        <v>8</v>
      </c>
      <c r="C5" s="49">
        <f>360/B5</f>
        <v>45</v>
      </c>
      <c r="D5" s="293">
        <f>RDG!B3</f>
        <v>176856</v>
      </c>
      <c r="E5" s="293">
        <f>RDG!C3</f>
        <v>185698.80000000002</v>
      </c>
      <c r="F5" s="293">
        <f>RDG!D3</f>
        <v>194983.74000000002</v>
      </c>
      <c r="G5" s="293">
        <f>RDG!E3</f>
        <v>204732.92700000003</v>
      </c>
      <c r="H5" s="293">
        <f>RDG!F3</f>
        <v>212922.24408000003</v>
      </c>
      <c r="I5" s="293">
        <f>RDG!G3</f>
        <v>219309.91140240003</v>
      </c>
      <c r="J5" s="293">
        <f>RDG!H3</f>
        <v>223696.10963044805</v>
      </c>
      <c r="K5" s="293">
        <f>RDG!I3</f>
        <v>228170.03182305701</v>
      </c>
      <c r="L5" s="293">
        <f>RDG!J3</f>
        <v>232733.43245951817</v>
      </c>
      <c r="M5" s="286">
        <f>RDG!K3</f>
        <v>237388.10110870854</v>
      </c>
    </row>
    <row r="6" spans="1:13" x14ac:dyDescent="0.3">
      <c r="A6" s="53" t="s">
        <v>166</v>
      </c>
      <c r="B6" s="49">
        <v>2</v>
      </c>
      <c r="C6" s="49">
        <f>360/B6</f>
        <v>180</v>
      </c>
      <c r="D6" s="293">
        <f>D5</f>
        <v>176856</v>
      </c>
      <c r="E6" s="293">
        <f t="shared" ref="E6:M6" si="0">E5</f>
        <v>185698.80000000002</v>
      </c>
      <c r="F6" s="293">
        <f t="shared" si="0"/>
        <v>194983.74000000002</v>
      </c>
      <c r="G6" s="293">
        <f t="shared" si="0"/>
        <v>204732.92700000003</v>
      </c>
      <c r="H6" s="293">
        <f t="shared" si="0"/>
        <v>212922.24408000003</v>
      </c>
      <c r="I6" s="293">
        <f>I5</f>
        <v>219309.91140240003</v>
      </c>
      <c r="J6" s="293">
        <f t="shared" si="0"/>
        <v>223696.10963044805</v>
      </c>
      <c r="K6" s="293">
        <f t="shared" si="0"/>
        <v>228170.03182305701</v>
      </c>
      <c r="L6" s="293">
        <f t="shared" si="0"/>
        <v>232733.43245951817</v>
      </c>
      <c r="M6" s="286">
        <f t="shared" si="0"/>
        <v>237388.10110870854</v>
      </c>
    </row>
    <row r="7" spans="1:13" x14ac:dyDescent="0.3">
      <c r="A7" s="53" t="s">
        <v>167</v>
      </c>
      <c r="B7" s="54"/>
      <c r="C7" s="54"/>
      <c r="D7" s="120"/>
      <c r="E7" s="120"/>
      <c r="F7" s="120"/>
      <c r="G7" s="120"/>
      <c r="H7" s="120"/>
      <c r="I7" s="120"/>
      <c r="J7" s="120"/>
      <c r="K7" s="120"/>
      <c r="L7" s="120"/>
      <c r="M7" s="119"/>
    </row>
    <row r="8" spans="1:13" x14ac:dyDescent="0.3">
      <c r="A8" s="53" t="s">
        <v>168</v>
      </c>
      <c r="B8" s="49">
        <v>30</v>
      </c>
      <c r="C8" s="49">
        <v>12</v>
      </c>
      <c r="D8" s="293">
        <f>RDG!B5+RDG!B6+RDG!B8+RDG!B9+RDG!B10+RDG!B11</f>
        <v>87159.727607773224</v>
      </c>
      <c r="E8" s="293">
        <f>RDG!C5+RDG!C6+RDG!C8+RDG!C9+RDG!C10+RDG!C11</f>
        <v>89082.14343600643</v>
      </c>
      <c r="F8" s="293">
        <f>RDG!D5+RDG!D6+RDG!D8+RDG!D9+RDG!D10+RDG!D11</f>
        <v>91062.231739086608</v>
      </c>
      <c r="G8" s="293">
        <f>RDG!E5+RDG!E6+RDG!E8+RDG!E9+RDG!E10+RDG!E11</f>
        <v>93101.722691259216</v>
      </c>
      <c r="H8" s="293">
        <f>RDG!F5+RDG!F6+RDG!F8+RDG!F9+RDG!F10+RDG!F11</f>
        <v>95788.979990909589</v>
      </c>
      <c r="I8" s="293">
        <f>RDG!G5+RDG!G6+RDG!G8+RDG!G9+RDG!G10+RDG!G11</f>
        <v>98697.371190545964</v>
      </c>
      <c r="J8" s="293">
        <f>RDG!H5+RDG!H6+RDG!H8+RDG!H9+RDG!H10+RDG!H11</f>
        <v>101722.09803816781</v>
      </c>
      <c r="K8" s="293">
        <f>RDG!I5+RDG!I6+RDG!I8+RDG!I9+RDG!I10+RDG!I11</f>
        <v>104867.81395969453</v>
      </c>
      <c r="L8" s="293">
        <f>RDG!J5+RDG!J6+RDG!J8+RDG!J9+RDG!J10+RDG!J11</f>
        <v>108139.3585180823</v>
      </c>
      <c r="M8" s="286">
        <f>RDG!K5+RDG!K6+RDG!K8+RDG!K9+RDG!K10+RDG!K11</f>
        <v>111541.76485880559</v>
      </c>
    </row>
    <row r="9" spans="1:13" x14ac:dyDescent="0.3">
      <c r="A9" s="53" t="s">
        <v>110</v>
      </c>
      <c r="B9" s="49">
        <v>30</v>
      </c>
      <c r="C9" s="49">
        <v>12</v>
      </c>
      <c r="D9" s="293">
        <f>RDG!B7</f>
        <v>65749.56</v>
      </c>
      <c r="E9" s="293">
        <f>RDG!C7</f>
        <v>65749.56</v>
      </c>
      <c r="F9" s="293">
        <f>RDG!D7</f>
        <v>65749.56</v>
      </c>
      <c r="G9" s="293">
        <f>RDG!E7</f>
        <v>65749.56</v>
      </c>
      <c r="H9" s="293">
        <f>RDG!F7</f>
        <v>65749.56</v>
      </c>
      <c r="I9" s="293">
        <f>RDG!G7</f>
        <v>65749.56</v>
      </c>
      <c r="J9" s="293">
        <f>RDG!H7</f>
        <v>65749.56</v>
      </c>
      <c r="K9" s="293">
        <f>RDG!I7</f>
        <v>65749.56</v>
      </c>
      <c r="L9" s="293">
        <f>RDG!J7</f>
        <v>65749.56</v>
      </c>
      <c r="M9" s="286">
        <f>RDG!K7</f>
        <v>65749.56</v>
      </c>
    </row>
    <row r="10" spans="1:13" x14ac:dyDescent="0.3">
      <c r="A10" s="53" t="s">
        <v>169</v>
      </c>
      <c r="B10" s="49">
        <v>30</v>
      </c>
      <c r="C10" s="49">
        <v>12</v>
      </c>
      <c r="D10" s="293">
        <f>RDG!B17</f>
        <v>0</v>
      </c>
      <c r="E10" s="293">
        <f>RDG!C17</f>
        <v>641.00742807977667</v>
      </c>
      <c r="F10" s="293">
        <f>RDG!D17</f>
        <v>1388.793301044486</v>
      </c>
      <c r="G10" s="293">
        <f>RDG!E17</f>
        <v>2178.1124105633935</v>
      </c>
      <c r="H10" s="293">
        <f>RDG!F17</f>
        <v>3637.0302751329582</v>
      </c>
      <c r="I10" s="293">
        <f>RDG!G17</f>
        <v>4063.1995904379119</v>
      </c>
      <c r="J10" s="293">
        <f>RDG!H17</f>
        <v>4221.2397707178779</v>
      </c>
      <c r="K10" s="293">
        <f>RDG!I17</f>
        <v>4377.2806378296782</v>
      </c>
      <c r="L10" s="293">
        <f>RDG!J17</f>
        <v>4531.0941406539878</v>
      </c>
      <c r="M10" s="286">
        <f>RDG!K17</f>
        <v>4682.4412562492425</v>
      </c>
    </row>
    <row r="11" spans="1:13" x14ac:dyDescent="0.3">
      <c r="A11" s="53" t="s">
        <v>170</v>
      </c>
      <c r="B11" s="49">
        <v>30</v>
      </c>
      <c r="C11" s="49">
        <v>12</v>
      </c>
      <c r="D11" s="293">
        <f>RDG!B14</f>
        <v>2026.6407640673942</v>
      </c>
      <c r="E11" s="293">
        <f>RDG!C14</f>
        <v>1863.5222831958015</v>
      </c>
      <c r="F11" s="293">
        <f>RDG!D14</f>
        <v>1690.515250468525</v>
      </c>
      <c r="G11" s="293">
        <f>RDG!E14</f>
        <v>1507.0202031068536</v>
      </c>
      <c r="H11" s="293">
        <f>RDG!F14</f>
        <v>1312.4013377608462</v>
      </c>
      <c r="I11" s="293">
        <f>RDG!G14</f>
        <v>1105.9843074749438</v>
      </c>
      <c r="J11" s="293">
        <f>RDG!H14</f>
        <v>887.0538851014511</v>
      </c>
      <c r="K11" s="293">
        <f>RDG!I14</f>
        <v>654.851485065715</v>
      </c>
      <c r="L11" s="293">
        <f>RDG!J14</f>
        <v>408.57253489599969</v>
      </c>
      <c r="M11" s="286">
        <f>RDG!K14</f>
        <v>147.3636874105195</v>
      </c>
    </row>
    <row r="12" spans="1:13" x14ac:dyDescent="0.3">
      <c r="A12" s="53" t="s">
        <v>171</v>
      </c>
      <c r="B12" s="54"/>
      <c r="C12" s="54"/>
      <c r="D12" s="120"/>
      <c r="E12" s="120"/>
      <c r="F12" s="120"/>
      <c r="G12" s="120"/>
      <c r="H12" s="120"/>
      <c r="I12" s="120"/>
      <c r="J12" s="120"/>
      <c r="K12" s="120"/>
      <c r="L12" s="120"/>
      <c r="M12" s="119"/>
    </row>
    <row r="13" spans="1:13" x14ac:dyDescent="0.3">
      <c r="A13" s="67" t="s">
        <v>172</v>
      </c>
      <c r="B13" s="47"/>
      <c r="C13" s="47"/>
      <c r="D13" s="121"/>
      <c r="E13" s="121"/>
      <c r="F13" s="121"/>
      <c r="G13" s="121"/>
      <c r="H13" s="121"/>
      <c r="I13" s="121"/>
      <c r="J13" s="121"/>
      <c r="K13" s="121"/>
      <c r="L13" s="121"/>
      <c r="M13" s="175"/>
    </row>
    <row r="14" spans="1:13" x14ac:dyDescent="0.3">
      <c r="D14" s="216"/>
    </row>
    <row r="15" spans="1:13" x14ac:dyDescent="0.3">
      <c r="A15" s="12" t="s">
        <v>160</v>
      </c>
      <c r="B15" s="18"/>
      <c r="C15" s="18"/>
      <c r="D15" s="12">
        <v>2024</v>
      </c>
      <c r="E15" s="12">
        <v>2025</v>
      </c>
      <c r="F15" s="12">
        <v>2026</v>
      </c>
      <c r="G15" s="12">
        <v>2027</v>
      </c>
      <c r="H15" s="12">
        <v>2028</v>
      </c>
      <c r="I15" s="12">
        <v>2029</v>
      </c>
      <c r="J15" s="12">
        <v>2030</v>
      </c>
      <c r="K15" s="12">
        <v>2031</v>
      </c>
      <c r="L15" s="12">
        <v>2032</v>
      </c>
      <c r="M15" s="12">
        <v>2033</v>
      </c>
    </row>
    <row r="16" spans="1:13" x14ac:dyDescent="0.3">
      <c r="A16" s="12" t="s">
        <v>161</v>
      </c>
      <c r="B16" s="12" t="s">
        <v>162</v>
      </c>
      <c r="C16" s="12" t="s">
        <v>163</v>
      </c>
      <c r="D16" s="119" t="s">
        <v>173</v>
      </c>
      <c r="E16" s="119" t="s">
        <v>173</v>
      </c>
      <c r="F16" s="119" t="s">
        <v>173</v>
      </c>
      <c r="G16" s="119" t="s">
        <v>173</v>
      </c>
      <c r="H16" s="119" t="s">
        <v>173</v>
      </c>
      <c r="I16" s="119" t="s">
        <v>173</v>
      </c>
      <c r="J16" s="119" t="s">
        <v>173</v>
      </c>
      <c r="K16" s="119" t="s">
        <v>173</v>
      </c>
      <c r="L16" s="119" t="s">
        <v>173</v>
      </c>
      <c r="M16" s="119" t="s">
        <v>173</v>
      </c>
    </row>
    <row r="17" spans="1:13" x14ac:dyDescent="0.3">
      <c r="A17" s="268" t="s">
        <v>855</v>
      </c>
      <c r="B17" s="49">
        <f>B3</f>
        <v>15</v>
      </c>
      <c r="C17" s="49">
        <f>C3</f>
        <v>24</v>
      </c>
      <c r="D17" s="275">
        <f t="shared" ref="D17:M17" si="1">D3/$C3</f>
        <v>2236.6886503238843</v>
      </c>
      <c r="E17" s="275">
        <f t="shared" si="1"/>
        <v>2303.7893098336012</v>
      </c>
      <c r="F17" s="275">
        <f t="shared" si="1"/>
        <v>2372.9029891286091</v>
      </c>
      <c r="G17" s="275">
        <f t="shared" si="1"/>
        <v>2444.0900788024674</v>
      </c>
      <c r="H17" s="275">
        <f t="shared" si="1"/>
        <v>2541.8536819545661</v>
      </c>
      <c r="I17" s="275">
        <f t="shared" si="1"/>
        <v>2643.5278292327489</v>
      </c>
      <c r="J17" s="275">
        <f t="shared" si="1"/>
        <v>2749.2689424020587</v>
      </c>
      <c r="K17" s="275">
        <f t="shared" si="1"/>
        <v>2859.2397000981414</v>
      </c>
      <c r="L17" s="275">
        <f t="shared" si="1"/>
        <v>2973.6092881020668</v>
      </c>
      <c r="M17" s="276">
        <f t="shared" si="1"/>
        <v>3092.5536596261495</v>
      </c>
    </row>
    <row r="18" spans="1:13" x14ac:dyDescent="0.3">
      <c r="A18" s="268" t="s">
        <v>880</v>
      </c>
      <c r="B18" s="49">
        <f t="shared" ref="B18:C20" si="2">B4</f>
        <v>3</v>
      </c>
      <c r="C18" s="49">
        <f t="shared" si="2"/>
        <v>120</v>
      </c>
      <c r="D18" s="275">
        <f>D4/$C4</f>
        <v>1274.2440633981103</v>
      </c>
      <c r="E18" s="275">
        <f t="shared" ref="E18:M18" si="3">E4/$C4</f>
        <v>1290.2641953000536</v>
      </c>
      <c r="F18" s="275">
        <f t="shared" si="3"/>
        <v>1306.7649311590551</v>
      </c>
      <c r="G18" s="275">
        <f t="shared" si="3"/>
        <v>1323.7606890938268</v>
      </c>
      <c r="H18" s="275">
        <f t="shared" si="3"/>
        <v>1346.1544999242467</v>
      </c>
      <c r="I18" s="275">
        <f t="shared" si="3"/>
        <v>1370.3910932545498</v>
      </c>
      <c r="J18" s="275">
        <f t="shared" si="3"/>
        <v>1395.5971503180651</v>
      </c>
      <c r="K18" s="275">
        <f t="shared" si="3"/>
        <v>1421.811449664121</v>
      </c>
      <c r="L18" s="275">
        <f t="shared" si="3"/>
        <v>1449.0743209840191</v>
      </c>
      <c r="M18" s="276">
        <f t="shared" si="3"/>
        <v>1477.4277071567133</v>
      </c>
    </row>
    <row r="19" spans="1:13" x14ac:dyDescent="0.3">
      <c r="A19" s="53" t="s">
        <v>165</v>
      </c>
      <c r="B19" s="49">
        <f t="shared" si="2"/>
        <v>8</v>
      </c>
      <c r="C19" s="49">
        <f t="shared" si="2"/>
        <v>45</v>
      </c>
      <c r="D19" s="275">
        <f t="shared" ref="D19:M19" si="4">D5/$C5</f>
        <v>3930.1333333333332</v>
      </c>
      <c r="E19" s="275">
        <f t="shared" si="4"/>
        <v>4126.6400000000003</v>
      </c>
      <c r="F19" s="275">
        <f t="shared" si="4"/>
        <v>4332.9720000000007</v>
      </c>
      <c r="G19" s="275">
        <f t="shared" si="4"/>
        <v>4549.6206000000002</v>
      </c>
      <c r="H19" s="275">
        <f t="shared" si="4"/>
        <v>4731.6054240000003</v>
      </c>
      <c r="I19" s="275">
        <f t="shared" si="4"/>
        <v>4873.5535867200006</v>
      </c>
      <c r="J19" s="275">
        <f t="shared" si="4"/>
        <v>4971.0246584544011</v>
      </c>
      <c r="K19" s="275">
        <f t="shared" si="4"/>
        <v>5070.4451516234894</v>
      </c>
      <c r="L19" s="275">
        <f t="shared" si="4"/>
        <v>5171.8540546559589</v>
      </c>
      <c r="M19" s="276">
        <f t="shared" si="4"/>
        <v>5275.2911357490784</v>
      </c>
    </row>
    <row r="20" spans="1:13" x14ac:dyDescent="0.3">
      <c r="A20" s="53" t="s">
        <v>166</v>
      </c>
      <c r="B20" s="49">
        <f t="shared" si="2"/>
        <v>2</v>
      </c>
      <c r="C20" s="49">
        <f t="shared" si="2"/>
        <v>180</v>
      </c>
      <c r="D20" s="275">
        <f t="shared" ref="D20:M20" si="5">D6/$C6</f>
        <v>982.5333333333333</v>
      </c>
      <c r="E20" s="275">
        <f t="shared" si="5"/>
        <v>1031.6600000000001</v>
      </c>
      <c r="F20" s="275">
        <f t="shared" si="5"/>
        <v>1083.2430000000002</v>
      </c>
      <c r="G20" s="275">
        <f t="shared" si="5"/>
        <v>1137.40515</v>
      </c>
      <c r="H20" s="275">
        <f t="shared" si="5"/>
        <v>1182.9013560000001</v>
      </c>
      <c r="I20" s="275">
        <f t="shared" si="5"/>
        <v>1218.3883966800001</v>
      </c>
      <c r="J20" s="275">
        <f t="shared" si="5"/>
        <v>1242.7561646136003</v>
      </c>
      <c r="K20" s="275">
        <f t="shared" si="5"/>
        <v>1267.6112879058724</v>
      </c>
      <c r="L20" s="275">
        <f t="shared" si="5"/>
        <v>1292.9635136639897</v>
      </c>
      <c r="M20" s="276">
        <f t="shared" si="5"/>
        <v>1318.8227839372696</v>
      </c>
    </row>
    <row r="21" spans="1:13" x14ac:dyDescent="0.3">
      <c r="A21" s="53" t="s">
        <v>167</v>
      </c>
      <c r="B21" s="54"/>
      <c r="C21" s="54"/>
      <c r="D21" s="277">
        <f t="shared" ref="D21:M21" si="6">SUM(D17:D20)</f>
        <v>8423.5993803886613</v>
      </c>
      <c r="E21" s="277">
        <f t="shared" si="6"/>
        <v>8752.3535051336548</v>
      </c>
      <c r="F21" s="277">
        <f t="shared" si="6"/>
        <v>9095.8829202876641</v>
      </c>
      <c r="G21" s="277">
        <f t="shared" si="6"/>
        <v>9454.8765178962949</v>
      </c>
      <c r="H21" s="277">
        <f t="shared" si="6"/>
        <v>9802.5149618788146</v>
      </c>
      <c r="I21" s="277">
        <f t="shared" si="6"/>
        <v>10105.860905887299</v>
      </c>
      <c r="J21" s="277">
        <f t="shared" si="6"/>
        <v>10358.646915788124</v>
      </c>
      <c r="K21" s="277">
        <f t="shared" si="6"/>
        <v>10619.107589291625</v>
      </c>
      <c r="L21" s="277">
        <f t="shared" si="6"/>
        <v>10887.501177406035</v>
      </c>
      <c r="M21" s="278">
        <f t="shared" si="6"/>
        <v>11164.095286469212</v>
      </c>
    </row>
    <row r="22" spans="1:13" x14ac:dyDescent="0.3">
      <c r="A22" s="53" t="s">
        <v>168</v>
      </c>
      <c r="B22" s="49">
        <v>30</v>
      </c>
      <c r="C22" s="49">
        <v>12</v>
      </c>
      <c r="D22" s="275">
        <f t="shared" ref="D22:M22" si="7">D8/$C8</f>
        <v>7263.310633981102</v>
      </c>
      <c r="E22" s="275">
        <f t="shared" si="7"/>
        <v>7423.5119530005359</v>
      </c>
      <c r="F22" s="275">
        <f t="shared" si="7"/>
        <v>7588.5193115905504</v>
      </c>
      <c r="G22" s="275">
        <f t="shared" si="7"/>
        <v>7758.4768909382683</v>
      </c>
      <c r="H22" s="275">
        <f t="shared" si="7"/>
        <v>7982.4149992424655</v>
      </c>
      <c r="I22" s="275">
        <f t="shared" si="7"/>
        <v>8224.7809325454964</v>
      </c>
      <c r="J22" s="275">
        <f t="shared" si="7"/>
        <v>8476.8415031806508</v>
      </c>
      <c r="K22" s="275">
        <f t="shared" si="7"/>
        <v>8738.9844966412111</v>
      </c>
      <c r="L22" s="275">
        <f t="shared" si="7"/>
        <v>9011.6132098401922</v>
      </c>
      <c r="M22" s="276">
        <f t="shared" si="7"/>
        <v>9295.147071567133</v>
      </c>
    </row>
    <row r="23" spans="1:13" x14ac:dyDescent="0.3">
      <c r="A23" s="53" t="s">
        <v>110</v>
      </c>
      <c r="B23" s="49">
        <v>30</v>
      </c>
      <c r="C23" s="49">
        <v>12</v>
      </c>
      <c r="D23" s="275">
        <f t="shared" ref="D23:M23" si="8">D9/$C9</f>
        <v>5479.13</v>
      </c>
      <c r="E23" s="275">
        <f t="shared" si="8"/>
        <v>5479.13</v>
      </c>
      <c r="F23" s="275">
        <f t="shared" si="8"/>
        <v>5479.13</v>
      </c>
      <c r="G23" s="275">
        <f t="shared" si="8"/>
        <v>5479.13</v>
      </c>
      <c r="H23" s="275">
        <f t="shared" si="8"/>
        <v>5479.13</v>
      </c>
      <c r="I23" s="275">
        <f t="shared" si="8"/>
        <v>5479.13</v>
      </c>
      <c r="J23" s="275">
        <f t="shared" si="8"/>
        <v>5479.13</v>
      </c>
      <c r="K23" s="275">
        <f t="shared" si="8"/>
        <v>5479.13</v>
      </c>
      <c r="L23" s="275">
        <f t="shared" si="8"/>
        <v>5479.13</v>
      </c>
      <c r="M23" s="276">
        <f t="shared" si="8"/>
        <v>5479.13</v>
      </c>
    </row>
    <row r="24" spans="1:13" x14ac:dyDescent="0.3">
      <c r="A24" s="53" t="s">
        <v>169</v>
      </c>
      <c r="B24" s="49">
        <v>30</v>
      </c>
      <c r="C24" s="49">
        <v>12</v>
      </c>
      <c r="D24" s="275">
        <f t="shared" ref="D24:M24" si="9">D10/$C10</f>
        <v>0</v>
      </c>
      <c r="E24" s="275">
        <f t="shared" si="9"/>
        <v>53.417285673314723</v>
      </c>
      <c r="F24" s="275">
        <f t="shared" si="9"/>
        <v>115.73277508704051</v>
      </c>
      <c r="G24" s="275">
        <f t="shared" si="9"/>
        <v>181.50936754694945</v>
      </c>
      <c r="H24" s="275">
        <f t="shared" si="9"/>
        <v>303.08585626107987</v>
      </c>
      <c r="I24" s="275">
        <f t="shared" si="9"/>
        <v>338.59996586982601</v>
      </c>
      <c r="J24" s="275">
        <f t="shared" si="9"/>
        <v>351.76998089315651</v>
      </c>
      <c r="K24" s="275">
        <f t="shared" si="9"/>
        <v>364.7733864858065</v>
      </c>
      <c r="L24" s="275">
        <f t="shared" si="9"/>
        <v>377.59117838783231</v>
      </c>
      <c r="M24" s="276">
        <f t="shared" si="9"/>
        <v>390.20343802077019</v>
      </c>
    </row>
    <row r="25" spans="1:13" x14ac:dyDescent="0.3">
      <c r="A25" s="53" t="s">
        <v>170</v>
      </c>
      <c r="B25" s="49">
        <v>30</v>
      </c>
      <c r="C25" s="49">
        <v>12</v>
      </c>
      <c r="D25" s="275">
        <f t="shared" ref="D25:M25" si="10">D11/$C11</f>
        <v>168.88673033894952</v>
      </c>
      <c r="E25" s="275">
        <f t="shared" si="10"/>
        <v>155.29352359965011</v>
      </c>
      <c r="F25" s="275">
        <f t="shared" si="10"/>
        <v>140.87627087237709</v>
      </c>
      <c r="G25" s="275">
        <f t="shared" si="10"/>
        <v>125.58501692557114</v>
      </c>
      <c r="H25" s="275">
        <f t="shared" si="10"/>
        <v>109.36677814673719</v>
      </c>
      <c r="I25" s="275">
        <f t="shared" si="10"/>
        <v>92.165358956245313</v>
      </c>
      <c r="J25" s="275">
        <f t="shared" si="10"/>
        <v>73.921157091787592</v>
      </c>
      <c r="K25" s="275">
        <f t="shared" si="10"/>
        <v>54.570957088809585</v>
      </c>
      <c r="L25" s="275">
        <f t="shared" si="10"/>
        <v>34.04771124133331</v>
      </c>
      <c r="M25" s="276">
        <f t="shared" si="10"/>
        <v>12.280307284209959</v>
      </c>
    </row>
    <row r="26" spans="1:13" x14ac:dyDescent="0.3">
      <c r="A26" s="53" t="s">
        <v>171</v>
      </c>
      <c r="B26" s="54"/>
      <c r="C26" s="54"/>
      <c r="D26" s="277">
        <f>SUM(D22:D25)</f>
        <v>12911.327364320052</v>
      </c>
      <c r="E26" s="277">
        <f t="shared" ref="E26:M26" si="11">SUM(E22:E25)</f>
        <v>13111.352762273502</v>
      </c>
      <c r="F26" s="277">
        <f t="shared" si="11"/>
        <v>13324.258357549968</v>
      </c>
      <c r="G26" s="277">
        <f t="shared" si="11"/>
        <v>13544.701275410789</v>
      </c>
      <c r="H26" s="277">
        <f t="shared" si="11"/>
        <v>13873.997633650282</v>
      </c>
      <c r="I26" s="277">
        <f>SUM(I22:I25)</f>
        <v>14134.676257371566</v>
      </c>
      <c r="J26" s="277">
        <f t="shared" si="11"/>
        <v>14381.662641165594</v>
      </c>
      <c r="K26" s="277">
        <f t="shared" si="11"/>
        <v>14637.458840215828</v>
      </c>
      <c r="L26" s="277">
        <f t="shared" si="11"/>
        <v>14902.382099469358</v>
      </c>
      <c r="M26" s="278">
        <f t="shared" si="11"/>
        <v>15176.760816872113</v>
      </c>
    </row>
    <row r="27" spans="1:13" x14ac:dyDescent="0.3">
      <c r="A27" s="67" t="s">
        <v>172</v>
      </c>
      <c r="B27" s="47"/>
      <c r="C27" s="47"/>
      <c r="D27" s="279">
        <f>D21-D26</f>
        <v>-4487.7279839313906</v>
      </c>
      <c r="E27" s="279">
        <f t="shared" ref="E27" si="12">E21-E26</f>
        <v>-4358.999257139847</v>
      </c>
      <c r="F27" s="279">
        <f t="shared" ref="F27" si="13">F21-F26</f>
        <v>-4228.3754372623043</v>
      </c>
      <c r="G27" s="279">
        <f t="shared" ref="G27" si="14">G21-G26</f>
        <v>-4089.8247575144942</v>
      </c>
      <c r="H27" s="279">
        <f t="shared" ref="H27" si="15">H21-H26</f>
        <v>-4071.4826717714677</v>
      </c>
      <c r="I27" s="279">
        <f>I21-I26</f>
        <v>-4028.815351484267</v>
      </c>
      <c r="J27" s="279">
        <f t="shared" ref="J27" si="16">J21-J26</f>
        <v>-4023.0157253774705</v>
      </c>
      <c r="K27" s="279">
        <f t="shared" ref="K27" si="17">K21-K26</f>
        <v>-4018.3512509242028</v>
      </c>
      <c r="L27" s="279">
        <f t="shared" ref="L27" si="18">L21-L26</f>
        <v>-4014.8809220633229</v>
      </c>
      <c r="M27" s="280">
        <f t="shared" ref="M27" si="19">M21-M26</f>
        <v>-4012.6655304029009</v>
      </c>
    </row>
    <row r="31" spans="1:13" x14ac:dyDescent="0.3">
      <c r="D31" s="216"/>
    </row>
  </sheetData>
  <pageMargins left="0.7" right="0.7" top="0.75" bottom="0.75" header="0.3" footer="0.3"/>
  <pageSetup orientation="portrait" horizontalDpi="300" verticalDpi="300" r:id="rId1"/>
  <ignoredErrors>
    <ignoredError sqref="D21:M2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N26"/>
  <sheetViews>
    <sheetView tabSelected="1" zoomScale="84" zoomScaleNormal="80" workbookViewId="0">
      <selection activeCell="N5" sqref="N5"/>
    </sheetView>
  </sheetViews>
  <sheetFormatPr defaultRowHeight="14.4" x14ac:dyDescent="0.3"/>
  <cols>
    <col min="1" max="1" width="29.21875" customWidth="1"/>
    <col min="2" max="2" width="14.77734375" customWidth="1"/>
    <col min="3" max="11" width="13.21875" customWidth="1"/>
    <col min="13" max="13" width="29" customWidth="1"/>
    <col min="14" max="14" width="16.21875" customWidth="1"/>
  </cols>
  <sheetData>
    <row r="1" spans="1:14" x14ac:dyDescent="0.3">
      <c r="A1" s="314" t="s">
        <v>139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</row>
    <row r="2" spans="1:14" x14ac:dyDescent="0.3">
      <c r="A2" s="88"/>
      <c r="B2" s="12">
        <v>2024</v>
      </c>
      <c r="C2" s="12">
        <v>2025</v>
      </c>
      <c r="D2" s="12">
        <v>2026</v>
      </c>
      <c r="E2" s="12">
        <v>2027</v>
      </c>
      <c r="F2" s="12">
        <v>2028</v>
      </c>
      <c r="G2" s="12">
        <v>2029</v>
      </c>
      <c r="H2" s="12">
        <v>2030</v>
      </c>
      <c r="I2" s="12">
        <v>2031</v>
      </c>
      <c r="J2" s="12">
        <v>2032</v>
      </c>
      <c r="K2" s="12">
        <v>2033</v>
      </c>
      <c r="M2" s="336" t="s">
        <v>878</v>
      </c>
      <c r="N2" s="336"/>
    </row>
    <row r="3" spans="1:14" x14ac:dyDescent="0.3">
      <c r="A3" s="67" t="s">
        <v>140</v>
      </c>
      <c r="B3" s="299">
        <f>Prihodi!G27</f>
        <v>176856</v>
      </c>
      <c r="C3" s="299">
        <f>B3*1.05</f>
        <v>185698.80000000002</v>
      </c>
      <c r="D3" s="299">
        <f t="shared" ref="D3" si="0">C3*1.05</f>
        <v>194983.74000000002</v>
      </c>
      <c r="E3" s="299">
        <f>D3*1.05</f>
        <v>204732.92700000003</v>
      </c>
      <c r="F3" s="299">
        <f>E3*1.04</f>
        <v>212922.24408000003</v>
      </c>
      <c r="G3" s="299">
        <f>F3*1.03</f>
        <v>219309.91140240003</v>
      </c>
      <c r="H3" s="299">
        <f t="shared" ref="H3:K3" si="1">G3*1.02</f>
        <v>223696.10963044805</v>
      </c>
      <c r="I3" s="299">
        <f t="shared" si="1"/>
        <v>228170.03182305701</v>
      </c>
      <c r="J3" s="299">
        <f t="shared" si="1"/>
        <v>232733.43245951817</v>
      </c>
      <c r="K3" s="299">
        <f t="shared" si="1"/>
        <v>237388.10110870854</v>
      </c>
      <c r="M3" s="53" t="s">
        <v>149</v>
      </c>
      <c r="N3" s="305">
        <f>SUM(N4:N10)</f>
        <v>102101.12368741051</v>
      </c>
    </row>
    <row r="4" spans="1:14" x14ac:dyDescent="0.3">
      <c r="A4" s="67" t="s">
        <v>141</v>
      </c>
      <c r="B4" s="91">
        <f>SUM(B5:B11)</f>
        <v>152909.28760777324</v>
      </c>
      <c r="C4" s="91">
        <f>SUM(C5:C11)</f>
        <v>154831.70343600644</v>
      </c>
      <c r="D4" s="91">
        <f t="shared" ref="D4:J4" si="2">SUM(D5:D11)</f>
        <v>156811.79173908662</v>
      </c>
      <c r="E4" s="91">
        <f t="shared" si="2"/>
        <v>158851.28269125923</v>
      </c>
      <c r="F4" s="91">
        <f t="shared" si="2"/>
        <v>161538.5399909096</v>
      </c>
      <c r="G4" s="91">
        <f t="shared" si="2"/>
        <v>164446.93119054596</v>
      </c>
      <c r="H4" s="91">
        <f t="shared" si="2"/>
        <v>167471.65803816781</v>
      </c>
      <c r="I4" s="91">
        <f t="shared" si="2"/>
        <v>170617.37395969452</v>
      </c>
      <c r="J4" s="91">
        <f t="shared" si="2"/>
        <v>173888.9185180823</v>
      </c>
      <c r="K4" s="91">
        <f>SUM(K5:K11)</f>
        <v>177291.3248588056</v>
      </c>
      <c r="M4" s="301" t="s">
        <v>154</v>
      </c>
      <c r="N4" s="124">
        <f>K7</f>
        <v>65749.56</v>
      </c>
    </row>
    <row r="5" spans="1:14" x14ac:dyDescent="0.3">
      <c r="A5" s="89" t="s">
        <v>175</v>
      </c>
      <c r="B5" s="124">
        <f>Namirnice!G41</f>
        <v>53680.527607773227</v>
      </c>
      <c r="C5" s="124">
        <f>B5*1.03</f>
        <v>55290.943436006426</v>
      </c>
      <c r="D5" s="124">
        <f t="shared" ref="D5:E5" si="3">C5*1.03</f>
        <v>56949.671739086618</v>
      </c>
      <c r="E5" s="124">
        <f t="shared" si="3"/>
        <v>58658.161891259217</v>
      </c>
      <c r="F5" s="124">
        <f>E5*1.04</f>
        <v>61004.488366909587</v>
      </c>
      <c r="G5" s="124">
        <f t="shared" ref="G5:K5" si="4">F5*1.04</f>
        <v>63444.66790158597</v>
      </c>
      <c r="H5" s="124">
        <f t="shared" si="4"/>
        <v>65982.454617649404</v>
      </c>
      <c r="I5" s="124">
        <f t="shared" si="4"/>
        <v>68621.75280235539</v>
      </c>
      <c r="J5" s="124">
        <f t="shared" si="4"/>
        <v>71366.622914449603</v>
      </c>
      <c r="K5" s="124">
        <f t="shared" si="4"/>
        <v>74221.287831027585</v>
      </c>
      <c r="M5" s="304" t="s">
        <v>863</v>
      </c>
      <c r="N5" s="124">
        <f>K10</f>
        <v>3131.2000000000003</v>
      </c>
    </row>
    <row r="6" spans="1:14" x14ac:dyDescent="0.3">
      <c r="A6" s="89" t="s">
        <v>142</v>
      </c>
      <c r="B6" s="124">
        <f>Rashodi!E5</f>
        <v>10400</v>
      </c>
      <c r="C6" s="124">
        <f>B6*1.03</f>
        <v>10712</v>
      </c>
      <c r="D6" s="124">
        <f t="shared" ref="D6:F6" si="5">C6*1.03</f>
        <v>11033.36</v>
      </c>
      <c r="E6" s="124">
        <f t="shared" si="5"/>
        <v>11364.3608</v>
      </c>
      <c r="F6" s="124">
        <f t="shared" si="5"/>
        <v>11705.291624000001</v>
      </c>
      <c r="G6" s="124">
        <f>F6*1.04</f>
        <v>12173.503288960002</v>
      </c>
      <c r="H6" s="124">
        <f>G6*1.04</f>
        <v>12660.443420518402</v>
      </c>
      <c r="I6" s="124">
        <f>H6*1.04</f>
        <v>13166.861157339139</v>
      </c>
      <c r="J6" s="124">
        <f t="shared" ref="J6:K6" si="6">I6*1.04</f>
        <v>13693.535603632705</v>
      </c>
      <c r="K6" s="124">
        <f t="shared" si="6"/>
        <v>14241.277027778013</v>
      </c>
      <c r="M6" s="301" t="s">
        <v>174</v>
      </c>
      <c r="N6" s="124">
        <f>K9</f>
        <v>5000</v>
      </c>
    </row>
    <row r="7" spans="1:14" x14ac:dyDescent="0.3">
      <c r="A7" s="89" t="s">
        <v>143</v>
      </c>
      <c r="B7" s="124">
        <f>Rashodi!K6</f>
        <v>65749.56</v>
      </c>
      <c r="C7" s="124">
        <f>B7</f>
        <v>65749.56</v>
      </c>
      <c r="D7" s="124">
        <f t="shared" ref="D7:K7" si="7">C7</f>
        <v>65749.56</v>
      </c>
      <c r="E7" s="124">
        <f t="shared" si="7"/>
        <v>65749.56</v>
      </c>
      <c r="F7" s="124">
        <f t="shared" si="7"/>
        <v>65749.56</v>
      </c>
      <c r="G7" s="124">
        <f>F7</f>
        <v>65749.56</v>
      </c>
      <c r="H7" s="124">
        <f t="shared" si="7"/>
        <v>65749.56</v>
      </c>
      <c r="I7" s="124">
        <f t="shared" si="7"/>
        <v>65749.56</v>
      </c>
      <c r="J7" s="124">
        <f t="shared" si="7"/>
        <v>65749.56</v>
      </c>
      <c r="K7" s="124">
        <f t="shared" si="7"/>
        <v>65749.56</v>
      </c>
      <c r="M7" s="301" t="s">
        <v>119</v>
      </c>
      <c r="N7" s="124">
        <f>K8</f>
        <v>12500</v>
      </c>
    </row>
    <row r="8" spans="1:14" x14ac:dyDescent="0.3">
      <c r="A8" s="89" t="s">
        <v>119</v>
      </c>
      <c r="B8" s="124">
        <f>Rashodi!$E$11</f>
        <v>12500</v>
      </c>
      <c r="C8" s="124">
        <f>Rashodi!$E$11</f>
        <v>12500</v>
      </c>
      <c r="D8" s="124">
        <f>Rashodi!$E$11</f>
        <v>12500</v>
      </c>
      <c r="E8" s="124">
        <f>Rashodi!$E$11</f>
        <v>12500</v>
      </c>
      <c r="F8" s="124">
        <f>Rashodi!$E$11</f>
        <v>12500</v>
      </c>
      <c r="G8" s="124">
        <f>Rashodi!$E$11</f>
        <v>12500</v>
      </c>
      <c r="H8" s="124">
        <f>Rashodi!$E$11</f>
        <v>12500</v>
      </c>
      <c r="I8" s="124">
        <f>Rashodi!$E$11</f>
        <v>12500</v>
      </c>
      <c r="J8" s="124">
        <f>Rashodi!$E$11</f>
        <v>12500</v>
      </c>
      <c r="K8" s="124">
        <f>Rashodi!$E$11</f>
        <v>12500</v>
      </c>
      <c r="M8" s="301" t="s">
        <v>111</v>
      </c>
      <c r="N8" s="124">
        <f>K11</f>
        <v>2448</v>
      </c>
    </row>
    <row r="9" spans="1:14" x14ac:dyDescent="0.3">
      <c r="A9" s="89" t="s">
        <v>174</v>
      </c>
      <c r="B9" s="124">
        <f>Rashodi!$E$17</f>
        <v>5000</v>
      </c>
      <c r="C9" s="124">
        <f>Rashodi!$E$17</f>
        <v>5000</v>
      </c>
      <c r="D9" s="124">
        <f>Rashodi!$E$17</f>
        <v>5000</v>
      </c>
      <c r="E9" s="124">
        <f>Rashodi!$E$17</f>
        <v>5000</v>
      </c>
      <c r="F9" s="124">
        <f>Rashodi!$E$17</f>
        <v>5000</v>
      </c>
      <c r="G9" s="124">
        <f>Rashodi!$E$17</f>
        <v>5000</v>
      </c>
      <c r="H9" s="124">
        <f>Rashodi!$E$17</f>
        <v>5000</v>
      </c>
      <c r="I9" s="124">
        <f>Rashodi!$E$17</f>
        <v>5000</v>
      </c>
      <c r="J9" s="124">
        <f>Rashodi!$E$17</f>
        <v>5000</v>
      </c>
      <c r="K9" s="124">
        <f>Rashodi!$E$17</f>
        <v>5000</v>
      </c>
      <c r="M9" s="301" t="s">
        <v>37</v>
      </c>
      <c r="N9" s="124">
        <f>K13</f>
        <v>13125</v>
      </c>
    </row>
    <row r="10" spans="1:14" x14ac:dyDescent="0.3">
      <c r="A10" s="273" t="s">
        <v>863</v>
      </c>
      <c r="B10" s="124">
        <f>Rashodi!E26</f>
        <v>3131.2000000000003</v>
      </c>
      <c r="C10" s="124">
        <f>$B$10</f>
        <v>3131.2000000000003</v>
      </c>
      <c r="D10" s="124">
        <f t="shared" ref="D10:K10" si="8">$B$10</f>
        <v>3131.2000000000003</v>
      </c>
      <c r="E10" s="124">
        <f t="shared" si="8"/>
        <v>3131.2000000000003</v>
      </c>
      <c r="F10" s="124">
        <f t="shared" si="8"/>
        <v>3131.2000000000003</v>
      </c>
      <c r="G10" s="124">
        <f t="shared" si="8"/>
        <v>3131.2000000000003</v>
      </c>
      <c r="H10" s="124">
        <f t="shared" si="8"/>
        <v>3131.2000000000003</v>
      </c>
      <c r="I10" s="124">
        <f t="shared" si="8"/>
        <v>3131.2000000000003</v>
      </c>
      <c r="J10" s="124">
        <f t="shared" si="8"/>
        <v>3131.2000000000003</v>
      </c>
      <c r="K10" s="124">
        <f t="shared" si="8"/>
        <v>3131.2000000000003</v>
      </c>
      <c r="M10" s="301" t="s">
        <v>131</v>
      </c>
      <c r="N10" s="124">
        <f>K14</f>
        <v>147.3636874105195</v>
      </c>
    </row>
    <row r="11" spans="1:14" x14ac:dyDescent="0.3">
      <c r="A11" s="89" t="s">
        <v>111</v>
      </c>
      <c r="B11" s="124">
        <f>Rashodi!$K$31</f>
        <v>2448</v>
      </c>
      <c r="C11" s="124">
        <f>Rashodi!$K$31</f>
        <v>2448</v>
      </c>
      <c r="D11" s="124">
        <f>Rashodi!$K$31</f>
        <v>2448</v>
      </c>
      <c r="E11" s="124">
        <f>Rashodi!$K$31</f>
        <v>2448</v>
      </c>
      <c r="F11" s="124">
        <f>Rashodi!$K$31</f>
        <v>2448</v>
      </c>
      <c r="G11" s="124">
        <f>Rashodi!$K$31</f>
        <v>2448</v>
      </c>
      <c r="H11" s="124">
        <f>Rashodi!$K$31</f>
        <v>2448</v>
      </c>
      <c r="I11" s="124">
        <f>Rashodi!$K$31</f>
        <v>2448</v>
      </c>
      <c r="J11" s="124">
        <f>Rashodi!$K$31</f>
        <v>2448</v>
      </c>
      <c r="K11" s="124">
        <f>Rashodi!$K$31</f>
        <v>2448</v>
      </c>
      <c r="M11" s="53" t="s">
        <v>158</v>
      </c>
      <c r="N11" s="306">
        <f>SUM(N12:N13)</f>
        <v>88462.564858805592</v>
      </c>
    </row>
    <row r="12" spans="1:14" x14ac:dyDescent="0.3">
      <c r="A12" s="67" t="s">
        <v>144</v>
      </c>
      <c r="B12" s="91">
        <f>B3-B4</f>
        <v>23946.712392226764</v>
      </c>
      <c r="C12" s="91">
        <f>C3-C4</f>
        <v>30867.096563993575</v>
      </c>
      <c r="D12" s="91">
        <f t="shared" ref="D12:J12" si="9">D3-D4</f>
        <v>38171.948260913399</v>
      </c>
      <c r="E12" s="91">
        <f t="shared" si="9"/>
        <v>45881.644308740797</v>
      </c>
      <c r="F12" s="91">
        <f t="shared" si="9"/>
        <v>51383.704089090432</v>
      </c>
      <c r="G12" s="91">
        <f t="shared" si="9"/>
        <v>54862.980211854068</v>
      </c>
      <c r="H12" s="91">
        <f t="shared" si="9"/>
        <v>56224.451592280238</v>
      </c>
      <c r="I12" s="91">
        <f t="shared" si="9"/>
        <v>57552.657863362489</v>
      </c>
      <c r="J12" s="91">
        <f t="shared" si="9"/>
        <v>58844.513941435871</v>
      </c>
      <c r="K12" s="91">
        <f>K3-K4</f>
        <v>60096.776249902934</v>
      </c>
      <c r="M12" s="302" t="s">
        <v>175</v>
      </c>
      <c r="N12" s="124">
        <f>K5</f>
        <v>74221.287831027585</v>
      </c>
    </row>
    <row r="13" spans="1:14" x14ac:dyDescent="0.3">
      <c r="A13" s="89" t="s">
        <v>37</v>
      </c>
      <c r="B13" s="124">
        <f>'In + Am'!E23</f>
        <v>22593.5</v>
      </c>
      <c r="C13" s="124">
        <f>'In + Am'!F23</f>
        <v>22593.5</v>
      </c>
      <c r="D13" s="124">
        <f>'In + Am'!G23</f>
        <v>22593.5</v>
      </c>
      <c r="E13" s="124">
        <f>'In + Am'!H23</f>
        <v>22593.5</v>
      </c>
      <c r="F13" s="124">
        <f>'In + Am'!I23</f>
        <v>13701</v>
      </c>
      <c r="G13" s="124">
        <f>'In + Am'!J23</f>
        <v>13125</v>
      </c>
      <c r="H13" s="124">
        <f>'In + Am'!K23</f>
        <v>13125</v>
      </c>
      <c r="I13" s="124">
        <f>'In + Am'!L23</f>
        <v>13125</v>
      </c>
      <c r="J13" s="124">
        <f>'In + Am'!M23</f>
        <v>13125</v>
      </c>
      <c r="K13" s="124">
        <f>'In + Am'!N23</f>
        <v>13125</v>
      </c>
      <c r="M13" s="303" t="s">
        <v>102</v>
      </c>
      <c r="N13" s="124">
        <f>K6</f>
        <v>14241.277027778013</v>
      </c>
    </row>
    <row r="14" spans="1:14" x14ac:dyDescent="0.3">
      <c r="A14" s="90" t="s">
        <v>131</v>
      </c>
      <c r="B14" s="285">
        <f>Kredit!G4</f>
        <v>2026.6407640673942</v>
      </c>
      <c r="C14" s="285">
        <f>Kredit!H4</f>
        <v>1863.5222831958015</v>
      </c>
      <c r="D14" s="285">
        <f>Kredit!I4</f>
        <v>1690.515250468525</v>
      </c>
      <c r="E14" s="285">
        <f>Kredit!J4</f>
        <v>1507.0202031068536</v>
      </c>
      <c r="F14" s="285">
        <f>Kredit!K4</f>
        <v>1312.4013377608462</v>
      </c>
      <c r="G14" s="285">
        <f>Kredit!L4</f>
        <v>1105.9843074749438</v>
      </c>
      <c r="H14" s="285">
        <f>Kredit!M4</f>
        <v>887.0538851014511</v>
      </c>
      <c r="I14" s="285">
        <f>Kredit!N4</f>
        <v>654.851485065715</v>
      </c>
      <c r="J14" s="285">
        <f>Kredit!O4</f>
        <v>408.57253489599969</v>
      </c>
      <c r="K14" s="285">
        <f>Kredit!P4</f>
        <v>147.3636874105195</v>
      </c>
      <c r="M14" s="67" t="s">
        <v>159</v>
      </c>
      <c r="N14" s="307">
        <f>N3+N11</f>
        <v>190563.68854621612</v>
      </c>
    </row>
    <row r="15" spans="1:14" x14ac:dyDescent="0.3">
      <c r="A15" s="67" t="s">
        <v>145</v>
      </c>
      <c r="B15" s="91">
        <f>B4+B13+B14</f>
        <v>177529.42837184062</v>
      </c>
      <c r="C15" s="91">
        <f>C4+C13+C14</f>
        <v>179288.72571920225</v>
      </c>
      <c r="D15" s="91">
        <f>D4+D13+D14</f>
        <v>181095.80698955516</v>
      </c>
      <c r="E15" s="91">
        <f t="shared" ref="E15:J15" si="10">E4+E13+E14</f>
        <v>182951.80289436609</v>
      </c>
      <c r="F15" s="91">
        <f t="shared" si="10"/>
        <v>176551.94132867045</v>
      </c>
      <c r="G15" s="91">
        <f t="shared" si="10"/>
        <v>178677.91549802091</v>
      </c>
      <c r="H15" s="91">
        <f t="shared" si="10"/>
        <v>181483.71192326926</v>
      </c>
      <c r="I15" s="91">
        <f t="shared" si="10"/>
        <v>184397.22544476023</v>
      </c>
      <c r="J15" s="91">
        <f t="shared" si="10"/>
        <v>187422.49105297829</v>
      </c>
      <c r="K15" s="91">
        <f>K4+K13+K14</f>
        <v>190563.68854621612</v>
      </c>
    </row>
    <row r="16" spans="1:14" x14ac:dyDescent="0.3">
      <c r="A16" s="67" t="s">
        <v>146</v>
      </c>
      <c r="B16" s="91">
        <f>B3-B15</f>
        <v>-673.42837184062228</v>
      </c>
      <c r="C16" s="91">
        <f t="shared" ref="C16:K16" si="11">C3-C15</f>
        <v>6410.0742807977658</v>
      </c>
      <c r="D16" s="91">
        <f t="shared" si="11"/>
        <v>13887.93301044486</v>
      </c>
      <c r="E16" s="91">
        <f t="shared" si="11"/>
        <v>21781.124105633935</v>
      </c>
      <c r="F16" s="91">
        <f t="shared" si="11"/>
        <v>36370.302751329582</v>
      </c>
      <c r="G16" s="91">
        <f t="shared" si="11"/>
        <v>40631.995904379117</v>
      </c>
      <c r="H16" s="91">
        <f t="shared" si="11"/>
        <v>42212.397707178781</v>
      </c>
      <c r="I16" s="91">
        <f t="shared" si="11"/>
        <v>43772.80637829678</v>
      </c>
      <c r="J16" s="91">
        <f t="shared" si="11"/>
        <v>45310.941406539874</v>
      </c>
      <c r="K16" s="91">
        <f t="shared" si="11"/>
        <v>46824.41256249242</v>
      </c>
    </row>
    <row r="17" spans="1:11" x14ac:dyDescent="0.3">
      <c r="A17" s="67" t="s">
        <v>147</v>
      </c>
      <c r="B17" s="91" cm="1">
        <f t="array" ref="B17">_xlfn.IFS(B16&lt;0,0,B16&gt;=0,B16*0.1)</f>
        <v>0</v>
      </c>
      <c r="C17" s="91" cm="1">
        <f t="array" ref="C17">_xlfn.IFS(C16&lt;0,0,C16&gt;=0,C16*0.1)</f>
        <v>641.00742807977667</v>
      </c>
      <c r="D17" s="91" cm="1">
        <f t="array" ref="D17">_xlfn.IFS(D16&lt;0,0,D16&gt;=0,D16*0.1)</f>
        <v>1388.793301044486</v>
      </c>
      <c r="E17" s="91" cm="1">
        <f t="array" ref="E17">_xlfn.IFS(E16&lt;0,0,E16&gt;=0,E16*0.1)</f>
        <v>2178.1124105633935</v>
      </c>
      <c r="F17" s="91" cm="1">
        <f t="array" ref="F17">_xlfn.IFS(F16&lt;0,0,F16&gt;=0,F16*0.1)</f>
        <v>3637.0302751329582</v>
      </c>
      <c r="G17" s="91" cm="1">
        <f t="array" ref="G17">_xlfn.IFS(G16&lt;0,0,G16&gt;=0,G16*0.1)</f>
        <v>4063.1995904379119</v>
      </c>
      <c r="H17" s="91" cm="1">
        <f t="array" ref="H17">_xlfn.IFS(H16&lt;0,0,H16&gt;=0,H16*0.1)</f>
        <v>4221.2397707178779</v>
      </c>
      <c r="I17" s="91" cm="1">
        <f t="array" ref="I17">_xlfn.IFS(I16&lt;0,0,I16&gt;=0,I16*0.1)</f>
        <v>4377.2806378296782</v>
      </c>
      <c r="J17" s="91" cm="1">
        <f t="array" ref="J17">_xlfn.IFS(J16&lt;0,0,J16&gt;=0,J16*0.1)</f>
        <v>4531.0941406539878</v>
      </c>
      <c r="K17" s="91" cm="1">
        <f t="array" ref="K17">_xlfn.IFS(K16&lt;0,0,K16&gt;=0,K16*0.1)</f>
        <v>4682.4412562492425</v>
      </c>
    </row>
    <row r="18" spans="1:11" x14ac:dyDescent="0.3">
      <c r="A18" s="67" t="s">
        <v>148</v>
      </c>
      <c r="B18" s="91">
        <f>B16-B17</f>
        <v>-673.42837184062228</v>
      </c>
      <c r="C18" s="91">
        <f t="shared" ref="C18:K18" si="12">C16-C17</f>
        <v>5769.0668527179896</v>
      </c>
      <c r="D18" s="91">
        <f t="shared" si="12"/>
        <v>12499.139709400373</v>
      </c>
      <c r="E18" s="91">
        <f t="shared" si="12"/>
        <v>19603.011695070541</v>
      </c>
      <c r="F18" s="91">
        <f t="shared" si="12"/>
        <v>32733.272476196624</v>
      </c>
      <c r="G18" s="91">
        <f t="shared" si="12"/>
        <v>36568.796313941202</v>
      </c>
      <c r="H18" s="91">
        <f t="shared" si="12"/>
        <v>37991.157936460906</v>
      </c>
      <c r="I18" s="91">
        <f t="shared" si="12"/>
        <v>39395.525740467099</v>
      </c>
      <c r="J18" s="91">
        <f t="shared" si="12"/>
        <v>40779.847265885888</v>
      </c>
      <c r="K18" s="91">
        <f t="shared" si="12"/>
        <v>42141.971306243177</v>
      </c>
    </row>
    <row r="19" spans="1:11" x14ac:dyDescent="0.3">
      <c r="K19" s="271"/>
    </row>
    <row r="21" spans="1:11" x14ac:dyDescent="0.3">
      <c r="A21" s="181"/>
    </row>
    <row r="22" spans="1:11" x14ac:dyDescent="0.3">
      <c r="B22" s="341" t="s">
        <v>150</v>
      </c>
      <c r="C22" s="340" t="s">
        <v>151</v>
      </c>
      <c r="D22" s="50" t="s">
        <v>152</v>
      </c>
      <c r="E22" s="340" t="s">
        <v>151</v>
      </c>
      <c r="F22" s="308">
        <f>N3</f>
        <v>102101.12368741051</v>
      </c>
      <c r="G22" s="340" t="s">
        <v>151</v>
      </c>
      <c r="H22" s="342">
        <f>F22/F23</f>
        <v>0.68558506659382301</v>
      </c>
    </row>
    <row r="23" spans="1:11" x14ac:dyDescent="0.3">
      <c r="B23" s="341"/>
      <c r="C23" s="340"/>
      <c r="D23" s="50" t="s">
        <v>153</v>
      </c>
      <c r="E23" s="340"/>
      <c r="F23" s="308">
        <f>K3-N11</f>
        <v>148925.53624990294</v>
      </c>
      <c r="G23" s="340"/>
      <c r="H23" s="342"/>
    </row>
    <row r="25" spans="1:11" x14ac:dyDescent="0.3">
      <c r="B25" s="341" t="s">
        <v>155</v>
      </c>
      <c r="C25" s="340" t="s">
        <v>151</v>
      </c>
      <c r="D25" s="50" t="s">
        <v>156</v>
      </c>
      <c r="E25" s="340" t="s">
        <v>151</v>
      </c>
      <c r="F25" s="308">
        <f>N3+N11</f>
        <v>190563.68854621612</v>
      </c>
      <c r="G25" s="340" t="s">
        <v>151</v>
      </c>
      <c r="H25" s="342">
        <f>F25/F26</f>
        <v>0.80275164448512171</v>
      </c>
    </row>
    <row r="26" spans="1:11" x14ac:dyDescent="0.3">
      <c r="B26" s="341"/>
      <c r="C26" s="340"/>
      <c r="D26" s="50" t="s">
        <v>157</v>
      </c>
      <c r="E26" s="340"/>
      <c r="F26" s="308">
        <f>K3</f>
        <v>237388.10110870854</v>
      </c>
      <c r="G26" s="340"/>
      <c r="H26" s="342"/>
    </row>
  </sheetData>
  <mergeCells count="12">
    <mergeCell ref="A1:K1"/>
    <mergeCell ref="G22:G23"/>
    <mergeCell ref="G25:G26"/>
    <mergeCell ref="M2:N2"/>
    <mergeCell ref="B22:B23"/>
    <mergeCell ref="C22:C23"/>
    <mergeCell ref="E22:E23"/>
    <mergeCell ref="H22:H23"/>
    <mergeCell ref="B25:B26"/>
    <mergeCell ref="C25:C26"/>
    <mergeCell ref="E25:E26"/>
    <mergeCell ref="H25:H26"/>
  </mergeCells>
  <pageMargins left="0.7" right="0.7" top="0.75" bottom="0.75" header="0.3" footer="0.3"/>
  <pageSetup orientation="portrait" horizontalDpi="300" verticalDpi="300" r:id="rId1"/>
  <ignoredErrors>
    <ignoredError sqref="F4 N7 N5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Y43"/>
  <sheetViews>
    <sheetView topLeftCell="A3" zoomScale="70" zoomScaleNormal="70" workbookViewId="0">
      <selection activeCell="A3" sqref="A3"/>
    </sheetView>
  </sheetViews>
  <sheetFormatPr defaultRowHeight="14.4" x14ac:dyDescent="0.3"/>
  <cols>
    <col min="1" max="1" width="31.77734375" customWidth="1"/>
    <col min="2" max="2" width="14.5546875" customWidth="1"/>
    <col min="3" max="3" width="14.77734375" customWidth="1"/>
    <col min="4" max="4" width="23" customWidth="1"/>
    <col min="5" max="11" width="14.77734375" customWidth="1"/>
    <col min="12" max="12" width="14.88671875" customWidth="1"/>
    <col min="13" max="13" width="11.77734375" customWidth="1"/>
    <col min="14" max="14" width="31.33203125" customWidth="1"/>
    <col min="15" max="15" width="13.21875" customWidth="1"/>
    <col min="16" max="16" width="13.77734375" customWidth="1"/>
    <col min="17" max="24" width="12.77734375" customWidth="1"/>
    <col min="25" max="25" width="12.88671875" bestFit="1" customWidth="1"/>
  </cols>
  <sheetData>
    <row r="1" spans="1:25" ht="15.6" x14ac:dyDescent="0.3">
      <c r="A1" s="125" t="s">
        <v>292</v>
      </c>
      <c r="B1" s="125"/>
      <c r="N1" t="s">
        <v>293</v>
      </c>
    </row>
    <row r="2" spans="1:25" ht="15.6" x14ac:dyDescent="0.3">
      <c r="A2" s="345" t="s">
        <v>294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N2" s="345" t="s">
        <v>295</v>
      </c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</row>
    <row r="3" spans="1:25" x14ac:dyDescent="0.3">
      <c r="A3" s="138" t="s">
        <v>296</v>
      </c>
      <c r="B3" s="138">
        <v>2023</v>
      </c>
      <c r="C3" s="138">
        <v>2024</v>
      </c>
      <c r="D3" s="138">
        <v>2025</v>
      </c>
      <c r="E3" s="138">
        <v>2026</v>
      </c>
      <c r="F3" s="138">
        <v>2027</v>
      </c>
      <c r="G3" s="138">
        <v>2028</v>
      </c>
      <c r="H3" s="138">
        <v>2029</v>
      </c>
      <c r="I3" s="138">
        <v>2030</v>
      </c>
      <c r="J3" s="138">
        <v>2031</v>
      </c>
      <c r="K3" s="138">
        <v>2032</v>
      </c>
      <c r="L3" s="138">
        <v>2033</v>
      </c>
      <c r="N3" s="138" t="s">
        <v>296</v>
      </c>
      <c r="O3" s="138">
        <v>2023</v>
      </c>
      <c r="P3" s="138">
        <v>2024</v>
      </c>
      <c r="Q3" s="138">
        <v>2025</v>
      </c>
      <c r="R3" s="138">
        <v>2026</v>
      </c>
      <c r="S3" s="138">
        <v>2027</v>
      </c>
      <c r="T3" s="138">
        <v>2028</v>
      </c>
      <c r="U3" s="138">
        <v>2029</v>
      </c>
      <c r="V3" s="138">
        <v>2030</v>
      </c>
      <c r="W3" s="138">
        <v>2031</v>
      </c>
      <c r="X3" s="138">
        <v>2032</v>
      </c>
      <c r="Y3" s="138">
        <v>2032</v>
      </c>
    </row>
    <row r="4" spans="1:25" x14ac:dyDescent="0.3">
      <c r="A4" s="138"/>
      <c r="B4" s="138">
        <v>0</v>
      </c>
      <c r="C4" s="138">
        <v>1</v>
      </c>
      <c r="D4" s="138">
        <v>2</v>
      </c>
      <c r="E4" s="138">
        <v>3</v>
      </c>
      <c r="F4" s="138">
        <v>4</v>
      </c>
      <c r="G4" s="138">
        <v>5</v>
      </c>
      <c r="H4" s="138">
        <v>6</v>
      </c>
      <c r="I4" s="138">
        <v>7</v>
      </c>
      <c r="J4" s="138">
        <v>8</v>
      </c>
      <c r="K4" s="138">
        <v>9</v>
      </c>
      <c r="L4" s="138">
        <v>10</v>
      </c>
      <c r="N4" s="138"/>
      <c r="O4" s="138">
        <v>0</v>
      </c>
      <c r="P4" s="138">
        <v>1</v>
      </c>
      <c r="Q4" s="138">
        <v>2</v>
      </c>
      <c r="R4" s="138">
        <v>3</v>
      </c>
      <c r="S4" s="138">
        <v>4</v>
      </c>
      <c r="T4" s="138">
        <v>5</v>
      </c>
      <c r="U4" s="138">
        <v>6</v>
      </c>
      <c r="V4" s="138">
        <v>7</v>
      </c>
      <c r="W4" s="138">
        <v>8</v>
      </c>
      <c r="X4" s="138">
        <v>9</v>
      </c>
      <c r="Y4" s="138">
        <v>9</v>
      </c>
    </row>
    <row r="5" spans="1:25" x14ac:dyDescent="0.3">
      <c r="A5" s="139" t="s">
        <v>297</v>
      </c>
      <c r="B5" s="182">
        <v>0</v>
      </c>
      <c r="C5" s="182">
        <f>SUM(C6:C9)</f>
        <v>176856</v>
      </c>
      <c r="D5" s="182">
        <f t="shared" ref="D5:L5" si="0">SUM(D6:D7)</f>
        <v>185698.80000000002</v>
      </c>
      <c r="E5" s="182">
        <f t="shared" si="0"/>
        <v>194983.74000000002</v>
      </c>
      <c r="F5" s="182">
        <f t="shared" si="0"/>
        <v>204732.92700000003</v>
      </c>
      <c r="G5" s="182">
        <f t="shared" si="0"/>
        <v>212922.24408000003</v>
      </c>
      <c r="H5" s="182">
        <f t="shared" si="0"/>
        <v>219309.91140240003</v>
      </c>
      <c r="I5" s="182">
        <f t="shared" si="0"/>
        <v>223696.10963044805</v>
      </c>
      <c r="J5" s="182">
        <f t="shared" si="0"/>
        <v>228170.03182305701</v>
      </c>
      <c r="K5" s="182">
        <f t="shared" si="0"/>
        <v>232733.43245951817</v>
      </c>
      <c r="L5" s="182">
        <f t="shared" si="0"/>
        <v>364625.43557830562</v>
      </c>
      <c r="N5" s="139" t="s">
        <v>297</v>
      </c>
      <c r="O5" s="182">
        <f>SUM(O6:O7, O10)</f>
        <v>301972</v>
      </c>
      <c r="P5" s="182">
        <f>SUM(P6:P7, P10)</f>
        <v>176856</v>
      </c>
      <c r="Q5" s="182">
        <f t="shared" ref="Q5:Y5" si="1">SUM(Q6:Q7, Q10)</f>
        <v>185698.80000000002</v>
      </c>
      <c r="R5" s="182">
        <f t="shared" si="1"/>
        <v>194983.74000000002</v>
      </c>
      <c r="S5" s="182">
        <f t="shared" si="1"/>
        <v>204732.92700000003</v>
      </c>
      <c r="T5" s="182">
        <f t="shared" si="1"/>
        <v>212922.24408000003</v>
      </c>
      <c r="U5" s="182">
        <f t="shared" si="1"/>
        <v>219309.91140240003</v>
      </c>
      <c r="V5" s="182">
        <f t="shared" si="1"/>
        <v>223696.10963044805</v>
      </c>
      <c r="W5" s="182">
        <f t="shared" si="1"/>
        <v>228170.03182305701</v>
      </c>
      <c r="X5" s="182">
        <f t="shared" si="1"/>
        <v>232733.43245951817</v>
      </c>
      <c r="Y5" s="182">
        <f t="shared" si="1"/>
        <v>364625.43557830562</v>
      </c>
    </row>
    <row r="6" spans="1:25" ht="13.95" customHeight="1" x14ac:dyDescent="0.3">
      <c r="A6" s="140" t="s">
        <v>298</v>
      </c>
      <c r="B6" s="183"/>
      <c r="C6" s="184">
        <f>RDG!B3</f>
        <v>176856</v>
      </c>
      <c r="D6" s="184">
        <f>RDG!C3</f>
        <v>185698.80000000002</v>
      </c>
      <c r="E6" s="184">
        <f>RDG!D3</f>
        <v>194983.74000000002</v>
      </c>
      <c r="F6" s="184">
        <f>RDG!E3</f>
        <v>204732.92700000003</v>
      </c>
      <c r="G6" s="184">
        <f>RDG!F3</f>
        <v>212922.24408000003</v>
      </c>
      <c r="H6" s="184">
        <f>RDG!G3</f>
        <v>219309.91140240003</v>
      </c>
      <c r="I6" s="184">
        <f>RDG!H3</f>
        <v>223696.10963044805</v>
      </c>
      <c r="J6" s="184">
        <f>RDG!I3</f>
        <v>228170.03182305701</v>
      </c>
      <c r="K6" s="184">
        <f>RDG!J3</f>
        <v>232733.43245951817</v>
      </c>
      <c r="L6" s="184">
        <f>RDG!K3</f>
        <v>237388.10110870854</v>
      </c>
      <c r="N6" s="141" t="s">
        <v>298</v>
      </c>
      <c r="O6" s="210">
        <v>0</v>
      </c>
      <c r="P6" s="210">
        <f>C6</f>
        <v>176856</v>
      </c>
      <c r="Q6" s="210">
        <f>D6</f>
        <v>185698.80000000002</v>
      </c>
      <c r="R6" s="210">
        <f t="shared" ref="R6:Y6" si="2">E6</f>
        <v>194983.74000000002</v>
      </c>
      <c r="S6" s="210">
        <f t="shared" si="2"/>
        <v>204732.92700000003</v>
      </c>
      <c r="T6" s="210">
        <f t="shared" si="2"/>
        <v>212922.24408000003</v>
      </c>
      <c r="U6" s="210">
        <f t="shared" si="2"/>
        <v>219309.91140240003</v>
      </c>
      <c r="V6" s="210">
        <f t="shared" si="2"/>
        <v>223696.10963044805</v>
      </c>
      <c r="W6" s="210">
        <f t="shared" si="2"/>
        <v>228170.03182305701</v>
      </c>
      <c r="X6" s="210">
        <f t="shared" si="2"/>
        <v>232733.43245951817</v>
      </c>
      <c r="Y6" s="210">
        <f t="shared" si="2"/>
        <v>237388.10110870854</v>
      </c>
    </row>
    <row r="7" spans="1:25" ht="13.95" customHeight="1" x14ac:dyDescent="0.3">
      <c r="A7" s="140" t="s">
        <v>299</v>
      </c>
      <c r="B7" s="183"/>
      <c r="C7" s="185"/>
      <c r="D7" s="186"/>
      <c r="E7" s="186"/>
      <c r="F7" s="186"/>
      <c r="G7" s="186"/>
      <c r="H7" s="186"/>
      <c r="I7" s="186"/>
      <c r="J7" s="186"/>
      <c r="K7" s="186"/>
      <c r="L7" s="186">
        <f>SUM(L8:L9)</f>
        <v>127237.3344695971</v>
      </c>
      <c r="N7" s="141" t="s">
        <v>300</v>
      </c>
      <c r="O7" s="210">
        <f>SUM(O8:O9)</f>
        <v>301972</v>
      </c>
      <c r="P7" s="210">
        <v>0</v>
      </c>
      <c r="Q7" s="210">
        <v>0</v>
      </c>
      <c r="R7" s="210">
        <v>0</v>
      </c>
      <c r="S7" s="210">
        <v>0</v>
      </c>
      <c r="T7" s="210">
        <v>0</v>
      </c>
      <c r="U7" s="210">
        <v>0</v>
      </c>
      <c r="V7" s="210">
        <v>0</v>
      </c>
      <c r="W7" s="210">
        <v>0</v>
      </c>
      <c r="X7" s="211">
        <v>0</v>
      </c>
      <c r="Y7" s="210">
        <v>0</v>
      </c>
    </row>
    <row r="8" spans="1:25" ht="13.95" customHeight="1" x14ac:dyDescent="0.3">
      <c r="A8" s="140" t="s">
        <v>301</v>
      </c>
      <c r="B8" s="183"/>
      <c r="C8" s="185"/>
      <c r="D8" s="185"/>
      <c r="E8" s="185"/>
      <c r="F8" s="185"/>
      <c r="G8" s="185"/>
      <c r="H8" s="185"/>
      <c r="I8" s="185"/>
      <c r="J8" s="185"/>
      <c r="K8" s="185"/>
      <c r="L8" s="185">
        <f>'In + Am'!O25</f>
        <v>131250</v>
      </c>
      <c r="N8" s="141" t="s">
        <v>302</v>
      </c>
      <c r="O8" s="210">
        <f>'In + Am'!D11</f>
        <v>266402</v>
      </c>
      <c r="P8" s="210"/>
      <c r="Q8" s="210"/>
      <c r="R8" s="210"/>
      <c r="S8" s="210"/>
      <c r="T8" s="210"/>
      <c r="U8" s="210"/>
      <c r="V8" s="210"/>
      <c r="W8" s="210"/>
      <c r="X8" s="211"/>
      <c r="Y8" s="210"/>
    </row>
    <row r="9" spans="1:25" ht="13.95" customHeight="1" x14ac:dyDescent="0.3">
      <c r="A9" s="140" t="s">
        <v>303</v>
      </c>
      <c r="B9" s="183"/>
      <c r="C9" s="185"/>
      <c r="D9" s="185"/>
      <c r="E9" s="185"/>
      <c r="F9" s="185"/>
      <c r="G9" s="185"/>
      <c r="H9" s="185"/>
      <c r="I9" s="185"/>
      <c r="J9" s="185"/>
      <c r="K9" s="185"/>
      <c r="L9" s="185">
        <f>TOBS!M27</f>
        <v>-4012.6655304029009</v>
      </c>
      <c r="N9" s="141" t="s">
        <v>304</v>
      </c>
      <c r="O9" s="210">
        <f>'In + Am'!E11</f>
        <v>35570</v>
      </c>
      <c r="P9" s="210"/>
      <c r="Q9" s="210"/>
      <c r="R9" s="210"/>
      <c r="S9" s="210"/>
      <c r="T9" s="210"/>
      <c r="U9" s="210"/>
      <c r="V9" s="210"/>
      <c r="W9" s="210"/>
      <c r="X9" s="211"/>
      <c r="Y9" s="210"/>
    </row>
    <row r="10" spans="1:25" ht="13.95" customHeight="1" x14ac:dyDescent="0.3">
      <c r="A10" s="139" t="s">
        <v>305</v>
      </c>
      <c r="B10" s="182">
        <f>SUM(B11:B16)</f>
        <v>301972</v>
      </c>
      <c r="C10" s="182">
        <f>SUM(C11:C16)</f>
        <v>148421.55962384184</v>
      </c>
      <c r="D10" s="182">
        <f>SUM(D11:D16)</f>
        <v>155601.43959087777</v>
      </c>
      <c r="E10" s="182">
        <f>SUM(E11:E16)</f>
        <v>158331.20886000866</v>
      </c>
      <c r="F10" s="182">
        <f>SUM(F11:F16)</f>
        <v>161167.94578157045</v>
      </c>
      <c r="G10" s="182">
        <f t="shared" ref="G10" si="3">SUM(G11:G16)</f>
        <v>165193.91235178558</v>
      </c>
      <c r="H10" s="182">
        <f>SUM(H11:H16)</f>
        <v>168552.79810127107</v>
      </c>
      <c r="I10" s="182">
        <f t="shared" ref="I10" si="4">SUM(I11:I16)</f>
        <v>171698.6974349925</v>
      </c>
      <c r="J10" s="182">
        <f>SUM(J11:J16)</f>
        <v>174999.31907197749</v>
      </c>
      <c r="K10" s="182">
        <f t="shared" ref="K10:L10" si="5">SUM(K11:K16)</f>
        <v>178423.48298759718</v>
      </c>
      <c r="L10" s="182">
        <f t="shared" si="5"/>
        <v>181975.98150671527</v>
      </c>
      <c r="N10" s="141" t="s">
        <v>306</v>
      </c>
      <c r="O10" s="212"/>
      <c r="P10" s="210"/>
      <c r="Q10" s="210"/>
      <c r="R10" s="210"/>
      <c r="S10" s="210"/>
      <c r="T10" s="210"/>
      <c r="U10" s="210"/>
      <c r="V10" s="210"/>
      <c r="W10" s="210"/>
      <c r="X10" s="211"/>
      <c r="Y10" s="210">
        <f>L7</f>
        <v>127237.3344695971</v>
      </c>
    </row>
    <row r="11" spans="1:25" ht="13.95" customHeight="1" x14ac:dyDescent="0.3">
      <c r="A11" s="140" t="s">
        <v>830</v>
      </c>
      <c r="B11" s="185">
        <f>'In + Am'!C11</f>
        <v>301972</v>
      </c>
      <c r="C11" s="184"/>
      <c r="D11" s="185"/>
      <c r="E11" s="185"/>
      <c r="F11" s="185"/>
      <c r="G11" s="185"/>
      <c r="H11" s="185"/>
      <c r="I11" s="185"/>
      <c r="J11" s="185"/>
      <c r="K11" s="185"/>
      <c r="L11" s="185"/>
      <c r="N11" s="141" t="s">
        <v>837</v>
      </c>
      <c r="O11" s="213"/>
      <c r="P11" s="214"/>
      <c r="Q11" s="214"/>
      <c r="R11" s="214"/>
      <c r="S11" s="214"/>
      <c r="T11" s="214"/>
      <c r="U11" s="214"/>
      <c r="V11" s="214"/>
      <c r="W11" s="214"/>
      <c r="X11" s="214"/>
      <c r="Y11" s="214">
        <f>L8</f>
        <v>131250</v>
      </c>
    </row>
    <row r="12" spans="1:25" ht="13.95" customHeight="1" x14ac:dyDescent="0.3">
      <c r="A12" s="140" t="s">
        <v>831</v>
      </c>
      <c r="B12" s="185">
        <v>0</v>
      </c>
      <c r="C12" s="185">
        <f>TOBS!D27</f>
        <v>-4487.7279839313906</v>
      </c>
      <c r="D12" s="185">
        <f>TOBS!E27-TOBS!D27</f>
        <v>128.72872679154352</v>
      </c>
      <c r="E12" s="185">
        <f>TOBS!F27-TOBS!E27</f>
        <v>130.6238198775427</v>
      </c>
      <c r="F12" s="185">
        <f>TOBS!G27-TOBS!F27</f>
        <v>138.55067974781014</v>
      </c>
      <c r="G12" s="185">
        <f>TOBS!H27-TOBS!G27</f>
        <v>18.342085743026473</v>
      </c>
      <c r="H12" s="185">
        <f>TOBS!I27-TOBS!H27</f>
        <v>42.66732028720071</v>
      </c>
      <c r="I12" s="185">
        <f>TOBS!J27-TOBS!I27</f>
        <v>5.7996261067964952</v>
      </c>
      <c r="J12" s="185">
        <f>TOBS!K27-TOBS!J27</f>
        <v>4.6644744532677578</v>
      </c>
      <c r="K12" s="185">
        <f>TOBS!L27-TOBS!K27</f>
        <v>3.4703288608798175</v>
      </c>
      <c r="L12" s="185">
        <f>TOBS!M27-TOBS!L27</f>
        <v>2.2153916604220285</v>
      </c>
      <c r="N12" s="141" t="s">
        <v>838</v>
      </c>
      <c r="O12" s="213"/>
      <c r="P12" s="214"/>
      <c r="Q12" s="214"/>
      <c r="R12" s="214"/>
      <c r="S12" s="214"/>
      <c r="T12" s="214"/>
      <c r="U12" s="214"/>
      <c r="V12" s="214"/>
      <c r="W12" s="214"/>
      <c r="X12" s="214"/>
      <c r="Y12" s="214">
        <f>L9</f>
        <v>-4012.6655304029009</v>
      </c>
    </row>
    <row r="13" spans="1:25" ht="13.95" customHeight="1" x14ac:dyDescent="0.3">
      <c r="A13" s="140" t="s">
        <v>833</v>
      </c>
      <c r="B13" s="183"/>
      <c r="C13" s="185">
        <f>RDG!B5+RDG!B6+RDG!B8+RDG!B9+RDG!B11</f>
        <v>84028.527607773227</v>
      </c>
      <c r="D13" s="185">
        <f>RDG!C5+RDG!C6+RDG!C8+RDG!C9+RDG!C11</f>
        <v>85950.943436006433</v>
      </c>
      <c r="E13" s="185">
        <f>RDG!D5+RDG!D6+RDG!D8+RDG!D9+RDG!D11</f>
        <v>87931.031739086611</v>
      </c>
      <c r="F13" s="185">
        <f>RDG!E5+RDG!E6+RDG!E8+RDG!E9+RDG!E11</f>
        <v>89970.522691259219</v>
      </c>
      <c r="G13" s="185">
        <f>RDG!F5+RDG!F6+RDG!F8+RDG!F9+RDG!F11</f>
        <v>92657.779990909592</v>
      </c>
      <c r="H13" s="185">
        <f>RDG!G5+RDG!G6+RDG!G8+RDG!G9+RDG!G11</f>
        <v>95566.171190545967</v>
      </c>
      <c r="I13" s="185">
        <f>RDG!H5+RDG!H6+RDG!H8+RDG!H9+RDG!H11</f>
        <v>98590.898038167812</v>
      </c>
      <c r="J13" s="185">
        <f>RDG!I5+RDG!I6+RDG!I8+RDG!I9+RDG!I11</f>
        <v>101736.61395969453</v>
      </c>
      <c r="K13" s="185">
        <f>RDG!J5+RDG!J6+RDG!J8+RDG!J9+RDG!J11</f>
        <v>105008.1585180823</v>
      </c>
      <c r="L13" s="185">
        <f>RDG!K5+RDG!K6+RDG!K8+RDG!K9+RDG!K11</f>
        <v>108410.56485880559</v>
      </c>
      <c r="N13" s="139" t="s">
        <v>305</v>
      </c>
      <c r="O13" s="182">
        <f>SUM(O14:O20)</f>
        <v>302030.3</v>
      </c>
      <c r="P13" s="182">
        <f t="shared" ref="P13:X13" si="6">SUM(P14:P20)</f>
        <v>153138.95219769664</v>
      </c>
      <c r="Q13" s="182">
        <f t="shared" si="6"/>
        <v>160318.83216473256</v>
      </c>
      <c r="R13" s="182">
        <f t="shared" si="6"/>
        <v>163048.60143386346</v>
      </c>
      <c r="S13" s="182">
        <f t="shared" si="6"/>
        <v>165885.33835542525</v>
      </c>
      <c r="T13" s="182">
        <f t="shared" si="6"/>
        <v>169911.30492564038</v>
      </c>
      <c r="U13" s="182">
        <f t="shared" si="6"/>
        <v>173270.19067512586</v>
      </c>
      <c r="V13" s="182">
        <f t="shared" si="6"/>
        <v>176416.0900088473</v>
      </c>
      <c r="W13" s="182">
        <f t="shared" si="6"/>
        <v>179716.71164583229</v>
      </c>
      <c r="X13" s="182">
        <f t="shared" si="6"/>
        <v>183140.87556145198</v>
      </c>
      <c r="Y13" s="182">
        <f t="shared" ref="Y13" si="7">SUM(Y14:Y20)</f>
        <v>186693.37408057007</v>
      </c>
    </row>
    <row r="14" spans="1:25" ht="13.95" customHeight="1" x14ac:dyDescent="0.3">
      <c r="A14" s="140" t="s">
        <v>832</v>
      </c>
      <c r="B14" s="183"/>
      <c r="C14" s="185">
        <f>RDG!B7</f>
        <v>65749.56</v>
      </c>
      <c r="D14" s="185">
        <f>RDG!C7</f>
        <v>65749.56</v>
      </c>
      <c r="E14" s="185">
        <f>RDG!D7</f>
        <v>65749.56</v>
      </c>
      <c r="F14" s="185">
        <f>RDG!E7</f>
        <v>65749.56</v>
      </c>
      <c r="G14" s="185">
        <f>RDG!F7</f>
        <v>65749.56</v>
      </c>
      <c r="H14" s="185">
        <f>RDG!G7</f>
        <v>65749.56</v>
      </c>
      <c r="I14" s="185">
        <f>RDG!H7</f>
        <v>65749.56</v>
      </c>
      <c r="J14" s="185">
        <f>RDG!I7</f>
        <v>65749.56</v>
      </c>
      <c r="K14" s="185">
        <f>RDG!J7</f>
        <v>65749.56</v>
      </c>
      <c r="L14" s="185">
        <f>RDG!K7</f>
        <v>65749.56</v>
      </c>
      <c r="N14" s="141" t="s">
        <v>839</v>
      </c>
      <c r="O14" s="185">
        <f>B11</f>
        <v>301972</v>
      </c>
      <c r="P14" s="185"/>
      <c r="Q14" s="185"/>
      <c r="R14" s="185"/>
      <c r="S14" s="185"/>
      <c r="T14" s="185"/>
      <c r="U14" s="185"/>
      <c r="V14" s="185"/>
      <c r="W14" s="185"/>
      <c r="X14" s="215"/>
      <c r="Y14" s="185"/>
    </row>
    <row r="15" spans="1:25" ht="13.95" customHeight="1" x14ac:dyDescent="0.3">
      <c r="A15" s="140" t="s">
        <v>879</v>
      </c>
      <c r="B15" s="183"/>
      <c r="C15" s="185">
        <f>Rashodi!E26</f>
        <v>3131.2000000000003</v>
      </c>
      <c r="D15" s="185">
        <f>$C$15</f>
        <v>3131.2000000000003</v>
      </c>
      <c r="E15" s="185">
        <f t="shared" ref="E15:L15" si="8">$C$15</f>
        <v>3131.2000000000003</v>
      </c>
      <c r="F15" s="185">
        <f t="shared" si="8"/>
        <v>3131.2000000000003</v>
      </c>
      <c r="G15" s="185">
        <f t="shared" si="8"/>
        <v>3131.2000000000003</v>
      </c>
      <c r="H15" s="185">
        <f t="shared" si="8"/>
        <v>3131.2000000000003</v>
      </c>
      <c r="I15" s="185">
        <f t="shared" si="8"/>
        <v>3131.2000000000003</v>
      </c>
      <c r="J15" s="185">
        <f t="shared" si="8"/>
        <v>3131.2000000000003</v>
      </c>
      <c r="K15" s="185">
        <f t="shared" si="8"/>
        <v>3131.2000000000003</v>
      </c>
      <c r="L15" s="185">
        <f t="shared" si="8"/>
        <v>3131.2000000000003</v>
      </c>
      <c r="N15" s="141" t="s">
        <v>840</v>
      </c>
      <c r="O15" s="185">
        <f>B12</f>
        <v>0</v>
      </c>
      <c r="P15" s="185">
        <f t="shared" ref="P15:Y18" si="9">C12</f>
        <v>-4487.7279839313906</v>
      </c>
      <c r="Q15" s="185">
        <f t="shared" si="9"/>
        <v>128.72872679154352</v>
      </c>
      <c r="R15" s="185">
        <f t="shared" si="9"/>
        <v>130.6238198775427</v>
      </c>
      <c r="S15" s="185">
        <f t="shared" si="9"/>
        <v>138.55067974781014</v>
      </c>
      <c r="T15" s="185">
        <f t="shared" si="9"/>
        <v>18.342085743026473</v>
      </c>
      <c r="U15" s="185">
        <f t="shared" si="9"/>
        <v>42.66732028720071</v>
      </c>
      <c r="V15" s="185">
        <f t="shared" si="9"/>
        <v>5.7996261067964952</v>
      </c>
      <c r="W15" s="185">
        <f t="shared" si="9"/>
        <v>4.6644744532677578</v>
      </c>
      <c r="X15" s="185">
        <f t="shared" si="9"/>
        <v>3.4703288608798175</v>
      </c>
      <c r="Y15" s="185">
        <f t="shared" si="9"/>
        <v>2.2153916604220285</v>
      </c>
    </row>
    <row r="16" spans="1:25" ht="13.95" customHeight="1" x14ac:dyDescent="0.3">
      <c r="A16" s="140" t="s">
        <v>842</v>
      </c>
      <c r="B16" s="183"/>
      <c r="C16" s="185">
        <f>RDG!B17</f>
        <v>0</v>
      </c>
      <c r="D16" s="185">
        <f>RDG!C17</f>
        <v>641.00742807977667</v>
      </c>
      <c r="E16" s="185">
        <f>RDG!D17</f>
        <v>1388.793301044486</v>
      </c>
      <c r="F16" s="185">
        <f>RDG!E17</f>
        <v>2178.1124105633935</v>
      </c>
      <c r="G16" s="185">
        <f>RDG!F17</f>
        <v>3637.0302751329582</v>
      </c>
      <c r="H16" s="185">
        <f>RDG!G17</f>
        <v>4063.1995904379119</v>
      </c>
      <c r="I16" s="185">
        <f>RDG!H17</f>
        <v>4221.2397707178779</v>
      </c>
      <c r="J16" s="185">
        <f>RDG!I17</f>
        <v>4377.2806378296782</v>
      </c>
      <c r="K16" s="185">
        <f>RDG!J17</f>
        <v>4531.0941406539878</v>
      </c>
      <c r="L16" s="185">
        <f>RDG!K17</f>
        <v>4682.4412562492425</v>
      </c>
      <c r="N16" s="141" t="s">
        <v>844</v>
      </c>
      <c r="O16" s="185"/>
      <c r="P16" s="185">
        <f>C13</f>
        <v>84028.527607773227</v>
      </c>
      <c r="Q16" s="185">
        <f t="shared" si="9"/>
        <v>85950.943436006433</v>
      </c>
      <c r="R16" s="185">
        <f t="shared" si="9"/>
        <v>87931.031739086611</v>
      </c>
      <c r="S16" s="185">
        <f t="shared" si="9"/>
        <v>89970.522691259219</v>
      </c>
      <c r="T16" s="185">
        <f t="shared" si="9"/>
        <v>92657.779990909592</v>
      </c>
      <c r="U16" s="185">
        <f t="shared" si="9"/>
        <v>95566.171190545967</v>
      </c>
      <c r="V16" s="185">
        <f t="shared" si="9"/>
        <v>98590.898038167812</v>
      </c>
      <c r="W16" s="185">
        <f t="shared" si="9"/>
        <v>101736.61395969453</v>
      </c>
      <c r="X16" s="185">
        <f t="shared" si="9"/>
        <v>105008.1585180823</v>
      </c>
      <c r="Y16" s="185">
        <f t="shared" si="9"/>
        <v>108410.56485880559</v>
      </c>
    </row>
    <row r="17" spans="1:25" ht="13.95" customHeight="1" x14ac:dyDescent="0.3">
      <c r="A17" s="139" t="s">
        <v>307</v>
      </c>
      <c r="B17" s="182">
        <f>B5-B10</f>
        <v>-301972</v>
      </c>
      <c r="C17" s="182">
        <f>C5-C10</f>
        <v>28434.440376158163</v>
      </c>
      <c r="D17" s="182">
        <f t="shared" ref="D17:L17" si="10">D5-D10</f>
        <v>30097.360409122251</v>
      </c>
      <c r="E17" s="182">
        <f t="shared" si="10"/>
        <v>36652.531139991363</v>
      </c>
      <c r="F17" s="182">
        <f t="shared" si="10"/>
        <v>43564.981218429573</v>
      </c>
      <c r="G17" s="182">
        <f t="shared" si="10"/>
        <v>47728.331728214456</v>
      </c>
      <c r="H17" s="182">
        <f t="shared" si="10"/>
        <v>50757.113301128964</v>
      </c>
      <c r="I17" s="182">
        <f t="shared" si="10"/>
        <v>51997.412195455545</v>
      </c>
      <c r="J17" s="182">
        <f t="shared" si="10"/>
        <v>53170.712751079525</v>
      </c>
      <c r="K17" s="182">
        <f t="shared" si="10"/>
        <v>54309.949471920991</v>
      </c>
      <c r="L17" s="182">
        <f t="shared" si="10"/>
        <v>182649.45407159036</v>
      </c>
      <c r="N17" s="141" t="s">
        <v>841</v>
      </c>
      <c r="O17" s="185"/>
      <c r="P17" s="185">
        <f t="shared" si="9"/>
        <v>65749.56</v>
      </c>
      <c r="Q17" s="185">
        <f t="shared" si="9"/>
        <v>65749.56</v>
      </c>
      <c r="R17" s="185">
        <f t="shared" si="9"/>
        <v>65749.56</v>
      </c>
      <c r="S17" s="185">
        <f t="shared" si="9"/>
        <v>65749.56</v>
      </c>
      <c r="T17" s="185">
        <f t="shared" si="9"/>
        <v>65749.56</v>
      </c>
      <c r="U17" s="185">
        <f t="shared" si="9"/>
        <v>65749.56</v>
      </c>
      <c r="V17" s="185">
        <f t="shared" si="9"/>
        <v>65749.56</v>
      </c>
      <c r="W17" s="185">
        <f t="shared" si="9"/>
        <v>65749.56</v>
      </c>
      <c r="X17" s="185">
        <f t="shared" si="9"/>
        <v>65749.56</v>
      </c>
      <c r="Y17" s="185">
        <f t="shared" si="9"/>
        <v>65749.56</v>
      </c>
    </row>
    <row r="18" spans="1:25" ht="13.95" customHeight="1" x14ac:dyDescent="0.3">
      <c r="A18" s="139" t="s">
        <v>308</v>
      </c>
      <c r="B18" s="182">
        <f>B17</f>
        <v>-301972</v>
      </c>
      <c r="C18" s="182">
        <f>C17+B18</f>
        <v>-273537.55962384184</v>
      </c>
      <c r="D18" s="182">
        <f>C18+D17</f>
        <v>-243440.19921471959</v>
      </c>
      <c r="E18" s="182">
        <f>D18+E17</f>
        <v>-206787.66807472822</v>
      </c>
      <c r="F18" s="182">
        <f t="shared" ref="F18:L18" si="11">E18+F17</f>
        <v>-163222.68685629865</v>
      </c>
      <c r="G18" s="182">
        <f t="shared" si="11"/>
        <v>-115494.35512808419</v>
      </c>
      <c r="H18" s="182">
        <f t="shared" si="11"/>
        <v>-64737.241826955229</v>
      </c>
      <c r="I18" s="182">
        <f t="shared" si="11"/>
        <v>-12739.829631499684</v>
      </c>
      <c r="J18" s="182">
        <f t="shared" si="11"/>
        <v>40430.883119579841</v>
      </c>
      <c r="K18" s="182">
        <f t="shared" si="11"/>
        <v>94740.832591500832</v>
      </c>
      <c r="L18" s="182">
        <f t="shared" si="11"/>
        <v>277390.28666309116</v>
      </c>
      <c r="N18" s="140" t="s">
        <v>879</v>
      </c>
      <c r="O18" s="183"/>
      <c r="P18" s="185">
        <f>C15</f>
        <v>3131.2000000000003</v>
      </c>
      <c r="Q18" s="185">
        <f t="shared" si="9"/>
        <v>3131.2000000000003</v>
      </c>
      <c r="R18" s="185">
        <f t="shared" si="9"/>
        <v>3131.2000000000003</v>
      </c>
      <c r="S18" s="185">
        <f t="shared" si="9"/>
        <v>3131.2000000000003</v>
      </c>
      <c r="T18" s="185">
        <f t="shared" si="9"/>
        <v>3131.2000000000003</v>
      </c>
      <c r="U18" s="185">
        <f t="shared" si="9"/>
        <v>3131.2000000000003</v>
      </c>
      <c r="V18" s="185">
        <f t="shared" si="9"/>
        <v>3131.2000000000003</v>
      </c>
      <c r="W18" s="185">
        <f t="shared" si="9"/>
        <v>3131.2000000000003</v>
      </c>
      <c r="X18" s="185">
        <f t="shared" si="9"/>
        <v>3131.2000000000003</v>
      </c>
      <c r="Y18" s="185">
        <f t="shared" si="9"/>
        <v>3131.2000000000003</v>
      </c>
    </row>
    <row r="19" spans="1:25" ht="13.8" customHeight="1" x14ac:dyDescent="0.3">
      <c r="N19" s="141" t="s">
        <v>842</v>
      </c>
      <c r="O19" s="185"/>
      <c r="P19" s="185">
        <f>C16</f>
        <v>0</v>
      </c>
      <c r="Q19" s="185">
        <f t="shared" ref="Q19:Y19" si="12">D16</f>
        <v>641.00742807977667</v>
      </c>
      <c r="R19" s="185">
        <f t="shared" si="12"/>
        <v>1388.793301044486</v>
      </c>
      <c r="S19" s="185">
        <f t="shared" si="12"/>
        <v>2178.1124105633935</v>
      </c>
      <c r="T19" s="185">
        <f t="shared" si="12"/>
        <v>3637.0302751329582</v>
      </c>
      <c r="U19" s="185">
        <f t="shared" si="12"/>
        <v>4063.1995904379119</v>
      </c>
      <c r="V19" s="185">
        <f t="shared" si="12"/>
        <v>4221.2397707178779</v>
      </c>
      <c r="W19" s="185">
        <f t="shared" si="12"/>
        <v>4377.2806378296782</v>
      </c>
      <c r="X19" s="185">
        <f t="shared" si="12"/>
        <v>4531.0941406539878</v>
      </c>
      <c r="Y19" s="185">
        <f t="shared" si="12"/>
        <v>4682.4412562492425</v>
      </c>
    </row>
    <row r="20" spans="1:25" ht="13.95" customHeight="1" x14ac:dyDescent="0.3">
      <c r="A20" s="187" t="s">
        <v>309</v>
      </c>
      <c r="B20" s="188">
        <f>I4+(-I18)/J17</f>
        <v>7.2396023858311178</v>
      </c>
      <c r="L20" s="128"/>
      <c r="N20" s="141" t="s">
        <v>843</v>
      </c>
      <c r="O20" s="185">
        <f>Kredit!F5</f>
        <v>58.3</v>
      </c>
      <c r="P20" s="185">
        <f>Kredit!G5</f>
        <v>4717.392573854806</v>
      </c>
      <c r="Q20" s="185">
        <f>Kredit!H5</f>
        <v>4717.392573854806</v>
      </c>
      <c r="R20" s="185">
        <f>Kredit!I5</f>
        <v>4717.392573854806</v>
      </c>
      <c r="S20" s="185">
        <f>Kredit!J5</f>
        <v>4717.392573854806</v>
      </c>
      <c r="T20" s="185">
        <f>Kredit!K5</f>
        <v>4717.392573854806</v>
      </c>
      <c r="U20" s="185">
        <f>Kredit!L5</f>
        <v>4717.392573854806</v>
      </c>
      <c r="V20" s="185">
        <f>Kredit!M5</f>
        <v>4717.3925738548051</v>
      </c>
      <c r="W20" s="185">
        <f>Kredit!N5</f>
        <v>4717.3925738548051</v>
      </c>
      <c r="X20" s="185">
        <f>Kredit!O5</f>
        <v>4717.3925738548051</v>
      </c>
      <c r="Y20" s="185">
        <f>Kredit!P5</f>
        <v>4717.3925738548051</v>
      </c>
    </row>
    <row r="21" spans="1:25" ht="13.95" customHeight="1" x14ac:dyDescent="0.3">
      <c r="D21" s="129"/>
      <c r="E21" s="129"/>
      <c r="F21" s="129"/>
      <c r="G21" s="129"/>
      <c r="H21" s="129"/>
      <c r="I21" s="129"/>
      <c r="J21" s="129"/>
      <c r="K21" s="129"/>
      <c r="L21" s="128"/>
      <c r="N21" s="139" t="s">
        <v>307</v>
      </c>
      <c r="O21" s="182">
        <f>O5-O13</f>
        <v>-58.299999999988358</v>
      </c>
      <c r="P21" s="182">
        <f t="shared" ref="P21:Y21" si="13">P5-P13</f>
        <v>23717.047802303365</v>
      </c>
      <c r="Q21" s="182">
        <f t="shared" si="13"/>
        <v>25379.967835267453</v>
      </c>
      <c r="R21" s="182">
        <f t="shared" si="13"/>
        <v>31935.138566136564</v>
      </c>
      <c r="S21" s="182">
        <f t="shared" si="13"/>
        <v>38847.588644574775</v>
      </c>
      <c r="T21" s="182">
        <f t="shared" si="13"/>
        <v>43010.939154359658</v>
      </c>
      <c r="U21" s="182">
        <f t="shared" si="13"/>
        <v>46039.720727274165</v>
      </c>
      <c r="V21" s="182">
        <f t="shared" si="13"/>
        <v>47280.019621600746</v>
      </c>
      <c r="W21" s="182">
        <f t="shared" si="13"/>
        <v>48453.320177224727</v>
      </c>
      <c r="X21" s="182">
        <f t="shared" si="13"/>
        <v>49592.556898066192</v>
      </c>
      <c r="Y21" s="182">
        <f t="shared" si="13"/>
        <v>177932.06149773556</v>
      </c>
    </row>
    <row r="22" spans="1:25" ht="13.95" customHeight="1" x14ac:dyDescent="0.3">
      <c r="A22" s="343" t="s">
        <v>310</v>
      </c>
      <c r="B22" s="343"/>
      <c r="C22" s="343"/>
      <c r="D22" s="192" t="s">
        <v>834</v>
      </c>
      <c r="E22" s="193">
        <v>0.04</v>
      </c>
      <c r="F22" s="129"/>
      <c r="G22" s="129"/>
      <c r="H22" s="129"/>
      <c r="I22" s="129"/>
      <c r="J22" s="129"/>
      <c r="K22" s="129"/>
      <c r="N22" s="139" t="s">
        <v>308</v>
      </c>
      <c r="O22" s="182">
        <f>O21</f>
        <v>-58.299999999988358</v>
      </c>
      <c r="P22" s="182">
        <f>O22+P21</f>
        <v>23658.747802303376</v>
      </c>
      <c r="Q22" s="182">
        <f>P22+Q21</f>
        <v>49038.715637570829</v>
      </c>
      <c r="R22" s="182">
        <f t="shared" ref="R22:X22" si="14">Q22+R21</f>
        <v>80973.854203707393</v>
      </c>
      <c r="S22" s="182">
        <f t="shared" si="14"/>
        <v>119821.44284828217</v>
      </c>
      <c r="T22" s="182">
        <f t="shared" si="14"/>
        <v>162832.38200264183</v>
      </c>
      <c r="U22" s="182">
        <f t="shared" si="14"/>
        <v>208872.10272991599</v>
      </c>
      <c r="V22" s="182">
        <f t="shared" si="14"/>
        <v>256152.12235151674</v>
      </c>
      <c r="W22" s="182">
        <f t="shared" si="14"/>
        <v>304605.44252874143</v>
      </c>
      <c r="X22" s="182">
        <f t="shared" si="14"/>
        <v>354197.99942680763</v>
      </c>
      <c r="Y22" s="182">
        <f>X22+Y21</f>
        <v>532130.06092454318</v>
      </c>
    </row>
    <row r="23" spans="1:25" ht="13.95" customHeight="1" x14ac:dyDescent="0.3">
      <c r="A23" s="191" t="s">
        <v>311</v>
      </c>
      <c r="B23" s="191">
        <v>0</v>
      </c>
      <c r="C23" s="191">
        <v>1</v>
      </c>
      <c r="D23" s="191">
        <v>2</v>
      </c>
      <c r="E23" s="191">
        <v>3</v>
      </c>
      <c r="F23" s="191">
        <v>4</v>
      </c>
      <c r="G23" s="191">
        <v>5</v>
      </c>
      <c r="H23" s="191">
        <v>6</v>
      </c>
      <c r="I23" s="191">
        <v>7</v>
      </c>
      <c r="J23" s="191">
        <v>8</v>
      </c>
      <c r="K23" s="191">
        <v>9</v>
      </c>
      <c r="L23" s="191">
        <v>10</v>
      </c>
      <c r="M23" s="126"/>
    </row>
    <row r="24" spans="1:25" ht="13.95" customHeight="1" x14ac:dyDescent="0.3">
      <c r="A24" s="194" t="s">
        <v>312</v>
      </c>
      <c r="B24" s="201">
        <f>B17*1/(1+$E$22)^B23</f>
        <v>-301972</v>
      </c>
      <c r="C24" s="201">
        <f>C17*1/(1+$E$22)^C23</f>
        <v>27340.808053998233</v>
      </c>
      <c r="D24" s="201">
        <f>D17*1/(1+$E$22)^D23</f>
        <v>27826.701561688467</v>
      </c>
      <c r="E24" s="201">
        <f t="shared" ref="E24:K24" si="15">E17*1/(1+$E$22)^E23</f>
        <v>32583.966719524637</v>
      </c>
      <c r="F24" s="201">
        <f t="shared" si="15"/>
        <v>37239.528527644885</v>
      </c>
      <c r="G24" s="201">
        <f t="shared" si="15"/>
        <v>39229.209607821867</v>
      </c>
      <c r="H24" s="201">
        <f t="shared" si="15"/>
        <v>40114.083926013009</v>
      </c>
      <c r="I24" s="201">
        <f t="shared" si="15"/>
        <v>39513.759767736876</v>
      </c>
      <c r="J24" s="201">
        <f t="shared" si="15"/>
        <v>38851.31900018789</v>
      </c>
      <c r="K24" s="201">
        <f t="shared" si="15"/>
        <v>38157.450108928198</v>
      </c>
      <c r="L24" s="201">
        <f>L17*1/(1+$E$22)^L23</f>
        <v>123391.42662635981</v>
      </c>
      <c r="M24" s="127"/>
    </row>
    <row r="25" spans="1:25" ht="13.95" customHeight="1" x14ac:dyDescent="0.3">
      <c r="A25" s="189" t="s">
        <v>313</v>
      </c>
      <c r="B25" s="198">
        <f>B24</f>
        <v>-301972</v>
      </c>
      <c r="C25" s="199">
        <f>B25+C24</f>
        <v>-274631.19194600178</v>
      </c>
      <c r="D25" s="199">
        <f t="shared" ref="D25:E25" si="16">C25+D24</f>
        <v>-246804.49038431331</v>
      </c>
      <c r="E25" s="199">
        <f t="shared" si="16"/>
        <v>-214220.52366478866</v>
      </c>
      <c r="F25" s="200">
        <f t="shared" ref="F25:L25" si="17">E25+F24</f>
        <v>-176980.99513714376</v>
      </c>
      <c r="G25" s="198">
        <f t="shared" si="17"/>
        <v>-137751.7855293219</v>
      </c>
      <c r="H25" s="198">
        <f t="shared" si="17"/>
        <v>-97637.701603308902</v>
      </c>
      <c r="I25" s="198">
        <f t="shared" si="17"/>
        <v>-58123.941835572026</v>
      </c>
      <c r="J25" s="198">
        <f t="shared" si="17"/>
        <v>-19272.622835384136</v>
      </c>
      <c r="K25" s="198">
        <f t="shared" si="17"/>
        <v>18884.827273544062</v>
      </c>
      <c r="L25" s="198">
        <f t="shared" si="17"/>
        <v>142276.25389990388</v>
      </c>
      <c r="M25" s="127"/>
    </row>
    <row r="26" spans="1:25" ht="9.6" customHeight="1" x14ac:dyDescent="0.3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</row>
    <row r="27" spans="1:25" ht="13.95" customHeight="1" x14ac:dyDescent="0.3">
      <c r="A27" s="195" t="s">
        <v>314</v>
      </c>
      <c r="B27" s="196">
        <f>G23+(-G25)/H24</f>
        <v>8.4340005316684596</v>
      </c>
      <c r="D27" s="129"/>
      <c r="E27" s="129"/>
      <c r="F27" s="129"/>
      <c r="G27" s="129"/>
      <c r="H27" s="129"/>
      <c r="I27" s="129"/>
      <c r="J27" s="129"/>
      <c r="K27" s="129"/>
      <c r="O27" s="128"/>
    </row>
    <row r="28" spans="1:25" ht="13.95" customHeight="1" x14ac:dyDescent="0.3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O28" s="128"/>
      <c r="P28" s="128"/>
    </row>
    <row r="29" spans="1:25" ht="13.95" customHeight="1" x14ac:dyDescent="0.3">
      <c r="A29" s="129"/>
      <c r="B29" s="129"/>
      <c r="C29" s="129"/>
      <c r="D29" s="300"/>
      <c r="E29" s="300"/>
      <c r="F29" s="300"/>
      <c r="G29" s="129"/>
      <c r="H29" s="129"/>
      <c r="I29" s="129"/>
      <c r="J29" s="129"/>
      <c r="K29" s="129"/>
      <c r="O29" s="128"/>
      <c r="P29" s="128"/>
    </row>
    <row r="30" spans="1:25" ht="13.95" customHeight="1" x14ac:dyDescent="0.3">
      <c r="A30" s="202" t="s">
        <v>315</v>
      </c>
      <c r="B30" s="203">
        <f>SUM(C24:L24)+B24</f>
        <v>142276.25389990391</v>
      </c>
      <c r="D30" s="129"/>
      <c r="E30" s="129"/>
      <c r="F30" s="129"/>
      <c r="G30" s="129"/>
      <c r="H30" s="129"/>
      <c r="I30" s="129"/>
      <c r="J30" s="129"/>
      <c r="K30" s="129"/>
      <c r="O30" s="128"/>
      <c r="P30" s="128"/>
    </row>
    <row r="31" spans="1:25" ht="13.95" customHeight="1" x14ac:dyDescent="0.3">
      <c r="A31" s="131" t="s">
        <v>835</v>
      </c>
      <c r="B31" s="197">
        <f>NPV(E22,C17:L17)-B11</f>
        <v>142276.25389990385</v>
      </c>
      <c r="C31" s="132"/>
      <c r="D31" s="300"/>
      <c r="E31" s="129"/>
      <c r="F31" s="129"/>
      <c r="G31" s="129"/>
      <c r="H31" s="129"/>
      <c r="I31" s="129"/>
      <c r="J31" s="129"/>
      <c r="K31" s="129"/>
      <c r="O31" s="128"/>
      <c r="P31" s="128"/>
    </row>
    <row r="32" spans="1:25" ht="13.95" customHeight="1" x14ac:dyDescent="0.3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O32" s="128"/>
      <c r="P32" s="128"/>
    </row>
    <row r="33" spans="1:16" ht="13.95" customHeight="1" x14ac:dyDescent="0.3">
      <c r="A33" s="202" t="s">
        <v>316</v>
      </c>
      <c r="B33" s="204">
        <f>IRR(B17:L17)</f>
        <v>0.10550050521810728</v>
      </c>
      <c r="D33" s="129"/>
      <c r="E33" s="129"/>
      <c r="F33" s="129"/>
      <c r="G33" s="129"/>
      <c r="H33" s="129"/>
      <c r="I33" s="129"/>
      <c r="J33" s="129"/>
      <c r="K33" s="129"/>
      <c r="N33" s="130"/>
      <c r="O33" s="128"/>
      <c r="P33" s="128"/>
    </row>
    <row r="34" spans="1:16" ht="13.95" customHeight="1" x14ac:dyDescent="0.3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N34" s="130"/>
      <c r="O34" s="128"/>
      <c r="P34" s="128"/>
    </row>
    <row r="35" spans="1:16" ht="13.95" customHeight="1" x14ac:dyDescent="0.3">
      <c r="A35" s="344" t="s">
        <v>317</v>
      </c>
      <c r="B35" s="344"/>
      <c r="C35" s="344"/>
      <c r="D35" s="192" t="s">
        <v>836</v>
      </c>
      <c r="E35" s="205">
        <f>B33</f>
        <v>0.10550050521810728</v>
      </c>
      <c r="F35" s="129"/>
      <c r="G35" s="129"/>
      <c r="H35" s="129"/>
      <c r="I35" s="129"/>
      <c r="J35" s="129"/>
      <c r="K35" s="129"/>
      <c r="N35" s="130"/>
      <c r="O35" s="128"/>
      <c r="P35" s="128"/>
    </row>
    <row r="36" spans="1:16" ht="13.95" customHeight="1" x14ac:dyDescent="0.3">
      <c r="A36" s="191" t="s">
        <v>311</v>
      </c>
      <c r="B36" s="191">
        <v>0</v>
      </c>
      <c r="C36" s="191">
        <v>1</v>
      </c>
      <c r="D36" s="191">
        <v>2</v>
      </c>
      <c r="E36" s="191">
        <v>3</v>
      </c>
      <c r="F36" s="191">
        <v>4</v>
      </c>
      <c r="G36" s="191">
        <v>5</v>
      </c>
      <c r="H36" s="191">
        <v>6</v>
      </c>
      <c r="I36" s="191">
        <v>7</v>
      </c>
      <c r="J36" s="191">
        <v>8</v>
      </c>
      <c r="K36" s="191">
        <v>9</v>
      </c>
      <c r="L36" s="191">
        <v>10</v>
      </c>
      <c r="M36" s="126"/>
      <c r="N36" s="130"/>
      <c r="O36" s="128"/>
      <c r="P36" s="128"/>
    </row>
    <row r="37" spans="1:16" ht="13.95" customHeight="1" x14ac:dyDescent="0.3">
      <c r="A37" s="194" t="s">
        <v>312</v>
      </c>
      <c r="B37" s="142">
        <f>B17*1/(1+$E$35)^B36</f>
        <v>-301972</v>
      </c>
      <c r="C37" s="142">
        <f>C17*1/(1+$E$35)^C36</f>
        <v>25720.875062420939</v>
      </c>
      <c r="D37" s="142">
        <f t="shared" ref="D37:L37" si="18">D17*1/(1+$E$35)^D36</f>
        <v>24626.943731981781</v>
      </c>
      <c r="E37" s="142">
        <f>E17*1/(1+$E$35)^E36</f>
        <v>27128.58457804982</v>
      </c>
      <c r="F37" s="142">
        <f t="shared" si="18"/>
        <v>29167.670792940993</v>
      </c>
      <c r="G37" s="142">
        <f t="shared" si="18"/>
        <v>28905.569318679576</v>
      </c>
      <c r="H37" s="142">
        <f t="shared" si="18"/>
        <v>27806.302447646744</v>
      </c>
      <c r="I37" s="142">
        <f t="shared" si="18"/>
        <v>25767.311787298844</v>
      </c>
      <c r="J37" s="142">
        <f t="shared" si="18"/>
        <v>23834.218638348761</v>
      </c>
      <c r="K37" s="142">
        <f t="shared" si="18"/>
        <v>22021.60103359216</v>
      </c>
      <c r="L37" s="142">
        <f t="shared" si="18"/>
        <v>66992.922609048022</v>
      </c>
      <c r="M37" s="127"/>
      <c r="O37" s="128"/>
      <c r="P37" s="128"/>
    </row>
    <row r="38" spans="1:16" ht="13.95" customHeight="1" x14ac:dyDescent="0.3">
      <c r="A38" s="189" t="s">
        <v>313</v>
      </c>
      <c r="B38" s="190">
        <f>B37</f>
        <v>-301972</v>
      </c>
      <c r="C38" s="190">
        <f>B38+C37</f>
        <v>-276251.12493757904</v>
      </c>
      <c r="D38" s="190">
        <f>C38+D37</f>
        <v>-251624.18120559724</v>
      </c>
      <c r="E38" s="190">
        <f t="shared" ref="E38:L38" si="19">D38+E37</f>
        <v>-224495.59662754741</v>
      </c>
      <c r="F38" s="190">
        <f t="shared" si="19"/>
        <v>-195327.9258346064</v>
      </c>
      <c r="G38" s="190">
        <f t="shared" si="19"/>
        <v>-166422.35651592683</v>
      </c>
      <c r="H38" s="190">
        <f t="shared" si="19"/>
        <v>-138616.05406828009</v>
      </c>
      <c r="I38" s="190">
        <f t="shared" si="19"/>
        <v>-112848.74228098124</v>
      </c>
      <c r="J38" s="190">
        <f t="shared" si="19"/>
        <v>-89014.523642632485</v>
      </c>
      <c r="K38" s="190">
        <f t="shared" si="19"/>
        <v>-66992.922609040324</v>
      </c>
      <c r="L38" s="190">
        <f t="shared" si="19"/>
        <v>7.6979631558060646E-9</v>
      </c>
      <c r="M38" s="127"/>
    </row>
    <row r="39" spans="1:16" ht="13.95" customHeight="1" x14ac:dyDescent="0.3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1:16" ht="13.95" customHeight="1" x14ac:dyDescent="0.3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1:16" ht="13.95" customHeight="1" x14ac:dyDescent="0.3">
      <c r="A41" s="189" t="s">
        <v>318</v>
      </c>
      <c r="B41" s="206">
        <f>B42/B43</f>
        <v>1.4711571069499951</v>
      </c>
      <c r="D41" s="129"/>
      <c r="E41" s="129"/>
      <c r="F41" s="129"/>
      <c r="G41" s="129"/>
      <c r="H41" s="129"/>
      <c r="I41" s="129"/>
      <c r="J41" s="129"/>
      <c r="K41" s="129"/>
    </row>
    <row r="42" spans="1:16" ht="13.95" customHeight="1" x14ac:dyDescent="0.3">
      <c r="A42" s="207" t="s">
        <v>319</v>
      </c>
      <c r="B42" s="208">
        <f>SUM(C24:L24)</f>
        <v>444248.25389990391</v>
      </c>
      <c r="D42" s="129"/>
      <c r="E42" s="129"/>
      <c r="F42" s="129"/>
      <c r="G42" s="129"/>
      <c r="H42" s="129"/>
      <c r="I42" s="129"/>
      <c r="J42" s="129"/>
      <c r="K42" s="129"/>
    </row>
    <row r="43" spans="1:16" ht="13.95" customHeight="1" x14ac:dyDescent="0.3">
      <c r="A43" s="194" t="s">
        <v>320</v>
      </c>
      <c r="B43" s="208">
        <f>B11</f>
        <v>301972</v>
      </c>
      <c r="D43" s="129"/>
      <c r="E43" s="129"/>
      <c r="F43" s="129"/>
      <c r="G43" s="129"/>
      <c r="H43" s="129"/>
      <c r="I43" s="129"/>
      <c r="J43" s="129"/>
      <c r="K43" s="129"/>
    </row>
  </sheetData>
  <mergeCells count="4">
    <mergeCell ref="A22:C22"/>
    <mergeCell ref="A35:C35"/>
    <mergeCell ref="A2:L2"/>
    <mergeCell ref="N2:Y2"/>
  </mergeCells>
  <pageMargins left="0.7" right="0.7" top="0.75" bottom="0.75" header="0.3" footer="0.3"/>
  <pageSetup orientation="portrait" horizontalDpi="300" verticalDpi="300" r:id="rId1"/>
  <ignoredErrors>
    <ignoredError sqref="L6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2:H21"/>
  <sheetViews>
    <sheetView workbookViewId="0"/>
  </sheetViews>
  <sheetFormatPr defaultRowHeight="14.4" x14ac:dyDescent="0.3"/>
  <cols>
    <col min="1" max="1" width="22.6640625" customWidth="1"/>
    <col min="2" max="2" width="10.6640625" customWidth="1"/>
    <col min="3" max="3" width="21" customWidth="1"/>
    <col min="5" max="5" width="14.6640625" customWidth="1"/>
    <col min="7" max="7" width="11.6640625" customWidth="1"/>
  </cols>
  <sheetData>
    <row r="2" spans="1:8" x14ac:dyDescent="0.3">
      <c r="A2" s="346" t="s">
        <v>321</v>
      </c>
      <c r="B2" s="347" t="s">
        <v>151</v>
      </c>
      <c r="C2" s="177" t="s">
        <v>148</v>
      </c>
      <c r="D2" s="347" t="s">
        <v>151</v>
      </c>
      <c r="E2" s="179">
        <f>RDG!K18</f>
        <v>42141.971306243177</v>
      </c>
      <c r="F2" s="347" t="s">
        <v>151</v>
      </c>
      <c r="G2" s="348">
        <f>E2/E3</f>
        <v>0.17752351996339047</v>
      </c>
    </row>
    <row r="3" spans="1:8" x14ac:dyDescent="0.3">
      <c r="A3" s="346"/>
      <c r="B3" s="347"/>
      <c r="C3" s="177" t="s">
        <v>322</v>
      </c>
      <c r="D3" s="347"/>
      <c r="E3" s="179">
        <f>RDG!K3</f>
        <v>237388.10110870854</v>
      </c>
      <c r="F3" s="347"/>
      <c r="G3" s="348"/>
    </row>
    <row r="4" spans="1:8" ht="9" customHeight="1" x14ac:dyDescent="0.3">
      <c r="E4" s="133"/>
      <c r="G4" s="135"/>
    </row>
    <row r="5" spans="1:8" x14ac:dyDescent="0.3">
      <c r="A5" s="349" t="s">
        <v>323</v>
      </c>
      <c r="B5" s="347" t="s">
        <v>151</v>
      </c>
      <c r="C5" s="177" t="s">
        <v>148</v>
      </c>
      <c r="D5" s="347" t="s">
        <v>151</v>
      </c>
      <c r="E5" s="179">
        <f>RDG!K18</f>
        <v>42141.971306243177</v>
      </c>
      <c r="F5" s="347" t="s">
        <v>151</v>
      </c>
      <c r="G5" s="350">
        <f>E5/E6</f>
        <v>0.1395558903018928</v>
      </c>
    </row>
    <row r="6" spans="1:8" x14ac:dyDescent="0.3">
      <c r="A6" s="349"/>
      <c r="B6" s="347"/>
      <c r="C6" s="177" t="s">
        <v>324</v>
      </c>
      <c r="D6" s="347"/>
      <c r="E6" s="179">
        <f>'In + Am'!C11</f>
        <v>301972</v>
      </c>
      <c r="F6" s="347"/>
      <c r="G6" s="351"/>
    </row>
    <row r="7" spans="1:8" ht="9" customHeight="1" x14ac:dyDescent="0.3">
      <c r="E7" s="133"/>
      <c r="G7" s="135"/>
    </row>
    <row r="8" spans="1:8" x14ac:dyDescent="0.3">
      <c r="A8" s="349" t="s">
        <v>325</v>
      </c>
      <c r="B8" s="347" t="s">
        <v>151</v>
      </c>
      <c r="C8" s="177" t="s">
        <v>322</v>
      </c>
      <c r="D8" s="347" t="s">
        <v>151</v>
      </c>
      <c r="E8" s="179">
        <f>RDG!K3</f>
        <v>237388.10110870854</v>
      </c>
      <c r="F8" s="347" t="s">
        <v>151</v>
      </c>
      <c r="G8" s="352">
        <f>E8/E9</f>
        <v>0.78612620080242057</v>
      </c>
    </row>
    <row r="9" spans="1:8" x14ac:dyDescent="0.3">
      <c r="A9" s="349"/>
      <c r="B9" s="347"/>
      <c r="C9" s="177" t="s">
        <v>324</v>
      </c>
      <c r="D9" s="347"/>
      <c r="E9" s="179">
        <f>'In + Am'!C11</f>
        <v>301972</v>
      </c>
      <c r="F9" s="347"/>
      <c r="G9" s="353"/>
      <c r="H9" s="216"/>
    </row>
    <row r="10" spans="1:8" ht="9" customHeight="1" x14ac:dyDescent="0.3">
      <c r="E10" s="133"/>
      <c r="G10" s="135"/>
    </row>
    <row r="11" spans="1:8" x14ac:dyDescent="0.3">
      <c r="A11" s="349" t="s">
        <v>326</v>
      </c>
      <c r="B11" s="347" t="s">
        <v>151</v>
      </c>
      <c r="C11" s="178" t="s">
        <v>327</v>
      </c>
      <c r="D11" s="347" t="s">
        <v>151</v>
      </c>
      <c r="E11" s="179">
        <f>RDG!K18+RDG!K13</f>
        <v>55266.971306243177</v>
      </c>
      <c r="F11" s="347" t="s">
        <v>151</v>
      </c>
      <c r="G11" s="350">
        <f>E11/E12</f>
        <v>0.18302018500471295</v>
      </c>
    </row>
    <row r="12" spans="1:8" x14ac:dyDescent="0.3">
      <c r="A12" s="349"/>
      <c r="B12" s="347"/>
      <c r="C12" s="177" t="s">
        <v>324</v>
      </c>
      <c r="D12" s="347"/>
      <c r="E12" s="179">
        <f>'In + Am'!C11</f>
        <v>301972</v>
      </c>
      <c r="F12" s="347"/>
      <c r="G12" s="351"/>
    </row>
    <row r="13" spans="1:8" x14ac:dyDescent="0.3">
      <c r="E13" s="133"/>
      <c r="G13" s="134"/>
    </row>
    <row r="14" spans="1:8" x14ac:dyDescent="0.3">
      <c r="E14" s="133"/>
      <c r="G14" s="134"/>
    </row>
    <row r="15" spans="1:8" ht="15.6" x14ac:dyDescent="0.3">
      <c r="A15" s="354" t="s">
        <v>328</v>
      </c>
      <c r="B15" s="354"/>
      <c r="C15" s="354"/>
      <c r="E15" s="133"/>
      <c r="G15" s="134"/>
    </row>
    <row r="16" spans="1:8" x14ac:dyDescent="0.3">
      <c r="E16" s="133"/>
      <c r="G16" s="134"/>
    </row>
    <row r="17" spans="1:7" x14ac:dyDescent="0.3">
      <c r="A17" s="355" t="s">
        <v>329</v>
      </c>
      <c r="B17" s="347" t="s">
        <v>151</v>
      </c>
      <c r="C17" s="177" t="s">
        <v>324</v>
      </c>
      <c r="D17" s="347" t="s">
        <v>151</v>
      </c>
      <c r="E17" s="179">
        <f>'In + Am'!C11</f>
        <v>301972</v>
      </c>
      <c r="F17" s="347" t="s">
        <v>151</v>
      </c>
      <c r="G17" s="356">
        <f>E17/E18</f>
        <v>75493</v>
      </c>
    </row>
    <row r="18" spans="1:7" x14ac:dyDescent="0.3">
      <c r="A18" s="355"/>
      <c r="B18" s="347"/>
      <c r="C18" s="177" t="s">
        <v>330</v>
      </c>
      <c r="D18" s="347"/>
      <c r="E18" s="180">
        <f>SUM(Rashodi!H3:H5)</f>
        <v>4</v>
      </c>
      <c r="F18" s="347"/>
      <c r="G18" s="356"/>
    </row>
    <row r="19" spans="1:7" ht="9" customHeight="1" x14ac:dyDescent="0.3">
      <c r="E19" s="133"/>
      <c r="G19" s="135"/>
    </row>
    <row r="20" spans="1:7" x14ac:dyDescent="0.3">
      <c r="A20" s="355" t="s">
        <v>332</v>
      </c>
      <c r="B20" s="347" t="s">
        <v>151</v>
      </c>
      <c r="C20" s="177" t="s">
        <v>331</v>
      </c>
      <c r="D20" s="347" t="s">
        <v>151</v>
      </c>
      <c r="E20" s="179">
        <f>SUM(Rashodi!J3:J5)</f>
        <v>4293.41</v>
      </c>
      <c r="F20" s="347" t="s">
        <v>151</v>
      </c>
      <c r="G20" s="356">
        <f>E20/E21</f>
        <v>1073.3525</v>
      </c>
    </row>
    <row r="21" spans="1:7" x14ac:dyDescent="0.3">
      <c r="A21" s="355"/>
      <c r="B21" s="347"/>
      <c r="C21" s="177" t="s">
        <v>330</v>
      </c>
      <c r="D21" s="347"/>
      <c r="E21" s="180">
        <f>SUM(Rashodi!H3:H5)</f>
        <v>4</v>
      </c>
      <c r="F21" s="347"/>
      <c r="G21" s="356"/>
    </row>
  </sheetData>
  <mergeCells count="31">
    <mergeCell ref="G17:G18"/>
    <mergeCell ref="A20:A21"/>
    <mergeCell ref="B20:B21"/>
    <mergeCell ref="D20:D21"/>
    <mergeCell ref="F20:F21"/>
    <mergeCell ref="G20:G21"/>
    <mergeCell ref="A15:C15"/>
    <mergeCell ref="A17:A18"/>
    <mergeCell ref="B17:B18"/>
    <mergeCell ref="D17:D18"/>
    <mergeCell ref="F17:F18"/>
    <mergeCell ref="A11:A12"/>
    <mergeCell ref="B11:B12"/>
    <mergeCell ref="D11:D12"/>
    <mergeCell ref="F11:F12"/>
    <mergeCell ref="G11:G12"/>
    <mergeCell ref="A8:A9"/>
    <mergeCell ref="B8:B9"/>
    <mergeCell ref="D8:D9"/>
    <mergeCell ref="F8:F9"/>
    <mergeCell ref="G8:G9"/>
    <mergeCell ref="A5:A6"/>
    <mergeCell ref="B5:B6"/>
    <mergeCell ref="D5:D6"/>
    <mergeCell ref="F5:F6"/>
    <mergeCell ref="G5:G6"/>
    <mergeCell ref="A2:A3"/>
    <mergeCell ref="B2:B3"/>
    <mergeCell ref="D2:D3"/>
    <mergeCell ref="F2:F3"/>
    <mergeCell ref="G2:G3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AB29"/>
  <sheetViews>
    <sheetView zoomScale="85" zoomScaleNormal="60" workbookViewId="0"/>
  </sheetViews>
  <sheetFormatPr defaultRowHeight="14.4" x14ac:dyDescent="0.3"/>
  <cols>
    <col min="1" max="1" width="22.6640625" customWidth="1"/>
    <col min="2" max="2" width="9.109375" customWidth="1"/>
    <col min="3" max="4" width="8.44140625" customWidth="1"/>
    <col min="9" max="9" width="10.33203125" customWidth="1"/>
    <col min="12" max="12" width="19.33203125" style="108" customWidth="1"/>
    <col min="13" max="13" width="17.109375" style="108" customWidth="1"/>
    <col min="14" max="14" width="10.44140625" customWidth="1"/>
    <col min="15" max="21" width="8.88671875" style="109"/>
    <col min="22" max="22" width="11.6640625" style="109" customWidth="1"/>
    <col min="23" max="24" width="8.88671875" style="109"/>
    <col min="26" max="26" width="15.33203125" style="107" customWidth="1"/>
  </cols>
  <sheetData>
    <row r="1" spans="1:28" s="111" customFormat="1" ht="32.4" customHeight="1" x14ac:dyDescent="0.3">
      <c r="A1" s="227" t="s">
        <v>199</v>
      </c>
      <c r="B1" s="218" t="s">
        <v>200</v>
      </c>
      <c r="C1" s="218" t="s">
        <v>201</v>
      </c>
      <c r="D1" s="218" t="s">
        <v>202</v>
      </c>
      <c r="E1" s="218" t="s">
        <v>203</v>
      </c>
      <c r="F1" s="218" t="s">
        <v>204</v>
      </c>
      <c r="G1" s="218" t="s">
        <v>205</v>
      </c>
      <c r="H1" s="218" t="s">
        <v>206</v>
      </c>
      <c r="I1" s="218" t="s">
        <v>207</v>
      </c>
      <c r="J1" s="218" t="s">
        <v>208</v>
      </c>
      <c r="K1" s="219" t="s">
        <v>209</v>
      </c>
      <c r="L1" s="261" t="s">
        <v>211</v>
      </c>
      <c r="M1" s="110"/>
      <c r="O1" s="266" t="s">
        <v>200</v>
      </c>
      <c r="P1" s="266" t="s">
        <v>201</v>
      </c>
      <c r="Q1" s="266" t="s">
        <v>202</v>
      </c>
      <c r="R1" s="266" t="s">
        <v>203</v>
      </c>
      <c r="S1" s="266" t="s">
        <v>204</v>
      </c>
      <c r="T1" s="266" t="s">
        <v>205</v>
      </c>
      <c r="U1" s="266" t="s">
        <v>206</v>
      </c>
      <c r="V1" s="266" t="s">
        <v>207</v>
      </c>
      <c r="W1" s="218" t="s">
        <v>208</v>
      </c>
      <c r="X1" s="218" t="s">
        <v>209</v>
      </c>
      <c r="Y1" s="218"/>
      <c r="Z1" s="227" t="s">
        <v>210</v>
      </c>
    </row>
    <row r="2" spans="1:28" x14ac:dyDescent="0.3">
      <c r="A2" s="18" t="s">
        <v>212</v>
      </c>
      <c r="B2" s="19">
        <v>40</v>
      </c>
      <c r="C2" s="19">
        <v>25</v>
      </c>
      <c r="D2" s="19">
        <v>35</v>
      </c>
      <c r="E2" s="19">
        <v>10</v>
      </c>
      <c r="F2" s="19">
        <v>50</v>
      </c>
      <c r="G2" s="19">
        <v>30</v>
      </c>
      <c r="H2" s="19">
        <v>30</v>
      </c>
      <c r="I2" s="19">
        <v>25</v>
      </c>
      <c r="J2" s="19">
        <v>25</v>
      </c>
      <c r="K2" s="226">
        <v>20</v>
      </c>
      <c r="L2" s="264">
        <v>2.5</v>
      </c>
      <c r="N2" s="228" t="s">
        <v>255</v>
      </c>
      <c r="O2" s="243">
        <f>B2/100*$L2</f>
        <v>1</v>
      </c>
      <c r="P2" s="243">
        <f t="shared" ref="O2:X3" si="0">C2/100*$L2</f>
        <v>0.625</v>
      </c>
      <c r="Q2" s="243">
        <f t="shared" si="0"/>
        <v>0.875</v>
      </c>
      <c r="R2" s="243">
        <f t="shared" si="0"/>
        <v>0.25</v>
      </c>
      <c r="S2" s="243">
        <f t="shared" si="0"/>
        <v>1.25</v>
      </c>
      <c r="T2" s="243">
        <f t="shared" si="0"/>
        <v>0.75</v>
      </c>
      <c r="U2" s="243">
        <f t="shared" si="0"/>
        <v>0.75</v>
      </c>
      <c r="V2" s="243">
        <f t="shared" si="0"/>
        <v>0.625</v>
      </c>
      <c r="W2" s="243">
        <f t="shared" si="0"/>
        <v>0.625</v>
      </c>
      <c r="X2" s="243">
        <f t="shared" si="0"/>
        <v>0.5</v>
      </c>
      <c r="Y2" s="243"/>
      <c r="Z2" s="237">
        <f>SUM(O2:Y2)</f>
        <v>7.25</v>
      </c>
      <c r="AA2">
        <f>Z2*3.36</f>
        <v>24.36</v>
      </c>
      <c r="AB2">
        <f>AA2/1.95583</f>
        <v>12.455070225939883</v>
      </c>
    </row>
    <row r="3" spans="1:28" x14ac:dyDescent="0.3">
      <c r="A3" s="18" t="s">
        <v>213</v>
      </c>
      <c r="B3" s="19"/>
      <c r="C3" s="19">
        <v>20</v>
      </c>
      <c r="D3" s="19">
        <v>15</v>
      </c>
      <c r="E3" s="19">
        <v>25</v>
      </c>
      <c r="F3" s="19">
        <v>20</v>
      </c>
      <c r="G3" s="19">
        <v>20</v>
      </c>
      <c r="H3" s="19">
        <v>20</v>
      </c>
      <c r="I3" s="19">
        <v>25</v>
      </c>
      <c r="J3" s="19">
        <v>20</v>
      </c>
      <c r="K3" s="226"/>
      <c r="L3" s="264">
        <f>6*4</f>
        <v>24</v>
      </c>
      <c r="N3" s="228" t="s">
        <v>255</v>
      </c>
      <c r="O3" s="243">
        <f t="shared" si="0"/>
        <v>0</v>
      </c>
      <c r="P3" s="243">
        <f t="shared" si="0"/>
        <v>4.8000000000000007</v>
      </c>
      <c r="Q3" s="243">
        <f t="shared" si="0"/>
        <v>3.5999999999999996</v>
      </c>
      <c r="R3" s="243">
        <f t="shared" si="0"/>
        <v>6</v>
      </c>
      <c r="S3" s="243">
        <f t="shared" si="0"/>
        <v>4.8000000000000007</v>
      </c>
      <c r="T3" s="243">
        <f t="shared" si="0"/>
        <v>4.8000000000000007</v>
      </c>
      <c r="U3" s="243">
        <f t="shared" si="0"/>
        <v>4.8000000000000007</v>
      </c>
      <c r="V3" s="243">
        <f t="shared" si="0"/>
        <v>6</v>
      </c>
      <c r="W3" s="243">
        <f t="shared" si="0"/>
        <v>4.8000000000000007</v>
      </c>
      <c r="X3" s="243">
        <f t="shared" si="0"/>
        <v>0</v>
      </c>
      <c r="Y3" s="243"/>
      <c r="Z3" s="237">
        <f t="shared" ref="Z3:Z24" si="1">SUM(O3:Y3)</f>
        <v>39.600000000000009</v>
      </c>
      <c r="AA3">
        <f>Z3*3.36</f>
        <v>133.05600000000001</v>
      </c>
      <c r="AB3">
        <f t="shared" ref="AB3:AB24" si="2">AA3/1.95583</f>
        <v>68.03045254444406</v>
      </c>
    </row>
    <row r="4" spans="1:28" x14ac:dyDescent="0.3">
      <c r="A4" s="18" t="s">
        <v>214</v>
      </c>
      <c r="B4" s="19">
        <v>6</v>
      </c>
      <c r="C4" s="19">
        <v>4</v>
      </c>
      <c r="D4" s="19">
        <v>4</v>
      </c>
      <c r="E4" s="19">
        <v>2</v>
      </c>
      <c r="F4" s="19"/>
      <c r="G4" s="19">
        <v>2</v>
      </c>
      <c r="H4" s="19">
        <v>2</v>
      </c>
      <c r="I4" s="19">
        <v>2</v>
      </c>
      <c r="J4" s="19">
        <v>1</v>
      </c>
      <c r="K4" s="226">
        <v>8</v>
      </c>
      <c r="L4" s="264">
        <f>4/10</f>
        <v>0.4</v>
      </c>
      <c r="N4" s="228" t="s">
        <v>258</v>
      </c>
      <c r="O4" s="243">
        <f>$L4*B4</f>
        <v>2.4000000000000004</v>
      </c>
      <c r="P4" s="243">
        <f t="shared" ref="P4:X6" si="3">$L4*C4</f>
        <v>1.6</v>
      </c>
      <c r="Q4" s="243">
        <f t="shared" si="3"/>
        <v>1.6</v>
      </c>
      <c r="R4" s="243">
        <f t="shared" si="3"/>
        <v>0.8</v>
      </c>
      <c r="S4" s="243">
        <f t="shared" si="3"/>
        <v>0</v>
      </c>
      <c r="T4" s="243">
        <f t="shared" si="3"/>
        <v>0.8</v>
      </c>
      <c r="U4" s="243">
        <f t="shared" si="3"/>
        <v>0.8</v>
      </c>
      <c r="V4" s="243">
        <f t="shared" si="3"/>
        <v>0.8</v>
      </c>
      <c r="W4" s="243">
        <f t="shared" si="3"/>
        <v>0.4</v>
      </c>
      <c r="X4" s="243">
        <f t="shared" si="3"/>
        <v>3.2</v>
      </c>
      <c r="Y4" s="243"/>
      <c r="Z4" s="237">
        <f t="shared" si="1"/>
        <v>12.399999999999999</v>
      </c>
      <c r="AA4">
        <f>Z4*3.36</f>
        <v>41.663999999999994</v>
      </c>
      <c r="AB4">
        <f t="shared" si="2"/>
        <v>21.302464938159243</v>
      </c>
    </row>
    <row r="5" spans="1:28" x14ac:dyDescent="0.3">
      <c r="A5" s="18" t="s">
        <v>215</v>
      </c>
      <c r="B5" s="19">
        <v>1</v>
      </c>
      <c r="C5" s="19">
        <v>1</v>
      </c>
      <c r="D5" s="19">
        <v>1</v>
      </c>
      <c r="E5" s="19">
        <v>1</v>
      </c>
      <c r="F5" s="19"/>
      <c r="G5" s="19"/>
      <c r="H5" s="19"/>
      <c r="I5" s="19">
        <v>1</v>
      </c>
      <c r="J5" s="19">
        <v>1</v>
      </c>
      <c r="K5" s="226"/>
      <c r="L5" s="264">
        <f>2/10</f>
        <v>0.2</v>
      </c>
      <c r="N5" s="228" t="s">
        <v>258</v>
      </c>
      <c r="O5" s="243">
        <f>$L5*B5</f>
        <v>0.2</v>
      </c>
      <c r="P5" s="243">
        <f t="shared" si="3"/>
        <v>0.2</v>
      </c>
      <c r="Q5" s="243">
        <f t="shared" si="3"/>
        <v>0.2</v>
      </c>
      <c r="R5" s="243">
        <f t="shared" si="3"/>
        <v>0.2</v>
      </c>
      <c r="S5" s="243">
        <f t="shared" si="3"/>
        <v>0</v>
      </c>
      <c r="T5" s="243">
        <f t="shared" si="3"/>
        <v>0</v>
      </c>
      <c r="U5" s="243">
        <f t="shared" si="3"/>
        <v>0</v>
      </c>
      <c r="V5" s="243">
        <f t="shared" si="3"/>
        <v>0.2</v>
      </c>
      <c r="W5" s="243">
        <f t="shared" si="3"/>
        <v>0.2</v>
      </c>
      <c r="X5" s="243">
        <f t="shared" si="3"/>
        <v>0</v>
      </c>
      <c r="Y5" s="243"/>
      <c r="Z5" s="237">
        <f t="shared" si="1"/>
        <v>1.2</v>
      </c>
      <c r="AA5">
        <f t="shared" ref="AA5:AA26" si="4">Z5*3.36</f>
        <v>4.032</v>
      </c>
      <c r="AB5">
        <f t="shared" si="2"/>
        <v>2.0615288649831531</v>
      </c>
    </row>
    <row r="6" spans="1:28" x14ac:dyDescent="0.3">
      <c r="A6" s="18" t="s">
        <v>875</v>
      </c>
      <c r="B6" s="19"/>
      <c r="C6" s="19">
        <v>0.4</v>
      </c>
      <c r="D6" s="19">
        <v>0.25</v>
      </c>
      <c r="E6" s="19"/>
      <c r="F6" s="19"/>
      <c r="G6" s="19"/>
      <c r="H6" s="19"/>
      <c r="I6" s="19">
        <v>0.25</v>
      </c>
      <c r="J6" s="19"/>
      <c r="K6" s="226"/>
      <c r="L6" s="264">
        <v>12</v>
      </c>
      <c r="N6" s="228" t="s">
        <v>255</v>
      </c>
      <c r="O6" s="243">
        <f>$L6*B6</f>
        <v>0</v>
      </c>
      <c r="P6" s="243">
        <f t="shared" si="3"/>
        <v>4.8000000000000007</v>
      </c>
      <c r="Q6" s="243">
        <f t="shared" si="3"/>
        <v>3</v>
      </c>
      <c r="R6" s="243">
        <f t="shared" si="3"/>
        <v>0</v>
      </c>
      <c r="S6" s="243">
        <f t="shared" si="3"/>
        <v>0</v>
      </c>
      <c r="T6" s="243">
        <f t="shared" si="3"/>
        <v>0</v>
      </c>
      <c r="U6" s="243">
        <f t="shared" si="3"/>
        <v>0</v>
      </c>
      <c r="V6" s="243">
        <f t="shared" si="3"/>
        <v>3</v>
      </c>
      <c r="W6" s="243">
        <f t="shared" si="3"/>
        <v>0</v>
      </c>
      <c r="X6" s="243">
        <f t="shared" si="3"/>
        <v>0</v>
      </c>
      <c r="Y6" s="243"/>
      <c r="Z6" s="237">
        <f t="shared" si="1"/>
        <v>10.8</v>
      </c>
      <c r="AA6">
        <f t="shared" si="4"/>
        <v>36.288000000000004</v>
      </c>
      <c r="AB6">
        <f t="shared" si="2"/>
        <v>18.553759784848378</v>
      </c>
    </row>
    <row r="7" spans="1:28" x14ac:dyDescent="0.3">
      <c r="A7" s="18" t="s">
        <v>216</v>
      </c>
      <c r="B7" s="19">
        <v>50</v>
      </c>
      <c r="C7" s="19">
        <v>25</v>
      </c>
      <c r="D7" s="19">
        <v>25</v>
      </c>
      <c r="E7" s="19"/>
      <c r="F7" s="19">
        <v>20</v>
      </c>
      <c r="G7" s="19">
        <v>30</v>
      </c>
      <c r="H7" s="19">
        <v>20</v>
      </c>
      <c r="I7" s="19"/>
      <c r="J7" s="19"/>
      <c r="K7" s="226"/>
      <c r="L7" s="264">
        <v>14</v>
      </c>
      <c r="N7" s="228" t="s">
        <v>255</v>
      </c>
      <c r="O7" s="243">
        <f t="shared" ref="O7:X7" si="5">B7/100*$L7</f>
        <v>7</v>
      </c>
      <c r="P7" s="243">
        <f t="shared" si="5"/>
        <v>3.5</v>
      </c>
      <c r="Q7" s="243">
        <f t="shared" si="5"/>
        <v>3.5</v>
      </c>
      <c r="R7" s="243">
        <f t="shared" si="5"/>
        <v>0</v>
      </c>
      <c r="S7" s="243">
        <f t="shared" si="5"/>
        <v>2.8000000000000003</v>
      </c>
      <c r="T7" s="243">
        <f t="shared" si="5"/>
        <v>4.2</v>
      </c>
      <c r="U7" s="243">
        <f t="shared" si="5"/>
        <v>2.8000000000000003</v>
      </c>
      <c r="V7" s="243">
        <f t="shared" si="5"/>
        <v>0</v>
      </c>
      <c r="W7" s="243">
        <f t="shared" si="5"/>
        <v>0</v>
      </c>
      <c r="X7" s="243">
        <f t="shared" si="5"/>
        <v>0</v>
      </c>
      <c r="Y7" s="243"/>
      <c r="Z7" s="237">
        <f t="shared" si="1"/>
        <v>23.8</v>
      </c>
      <c r="AA7">
        <f t="shared" si="4"/>
        <v>79.968000000000004</v>
      </c>
      <c r="AB7">
        <f t="shared" si="2"/>
        <v>40.886989155499201</v>
      </c>
    </row>
    <row r="8" spans="1:28" x14ac:dyDescent="0.3">
      <c r="A8" s="18" t="s">
        <v>217</v>
      </c>
      <c r="B8" s="19">
        <v>0.25</v>
      </c>
      <c r="C8" s="19"/>
      <c r="D8" s="19"/>
      <c r="E8" s="19"/>
      <c r="F8" s="19"/>
      <c r="G8" s="19"/>
      <c r="H8" s="19"/>
      <c r="I8" s="19"/>
      <c r="J8" s="19"/>
      <c r="K8" s="226"/>
      <c r="L8" s="264">
        <v>5</v>
      </c>
      <c r="N8" s="228" t="s">
        <v>255</v>
      </c>
      <c r="O8" s="243">
        <f>$L8*B8</f>
        <v>1.25</v>
      </c>
      <c r="P8" s="243">
        <f t="shared" ref="O8:X9" si="6">$L8*C8</f>
        <v>0</v>
      </c>
      <c r="Q8" s="243">
        <f t="shared" si="6"/>
        <v>0</v>
      </c>
      <c r="R8" s="243">
        <f t="shared" si="6"/>
        <v>0</v>
      </c>
      <c r="S8" s="243">
        <f t="shared" si="6"/>
        <v>0</v>
      </c>
      <c r="T8" s="243">
        <f t="shared" si="6"/>
        <v>0</v>
      </c>
      <c r="U8" s="243">
        <f t="shared" si="6"/>
        <v>0</v>
      </c>
      <c r="V8" s="243">
        <f t="shared" si="6"/>
        <v>0</v>
      </c>
      <c r="W8" s="243">
        <f t="shared" si="6"/>
        <v>0</v>
      </c>
      <c r="X8" s="243">
        <f t="shared" si="6"/>
        <v>0</v>
      </c>
      <c r="Y8" s="243"/>
      <c r="Z8" s="237">
        <f t="shared" si="1"/>
        <v>1.25</v>
      </c>
      <c r="AA8">
        <f t="shared" si="4"/>
        <v>4.2</v>
      </c>
      <c r="AB8">
        <f t="shared" si="2"/>
        <v>2.1474259010241177</v>
      </c>
    </row>
    <row r="9" spans="1:28" x14ac:dyDescent="0.3">
      <c r="A9" s="18" t="s">
        <v>218</v>
      </c>
      <c r="B9" s="19">
        <v>0.1</v>
      </c>
      <c r="C9" s="19"/>
      <c r="D9" s="19"/>
      <c r="E9" s="19"/>
      <c r="F9" s="19">
        <v>1</v>
      </c>
      <c r="G9" s="19"/>
      <c r="H9" s="19"/>
      <c r="I9" s="19"/>
      <c r="J9" s="19">
        <v>1</v>
      </c>
      <c r="K9" s="226">
        <v>1</v>
      </c>
      <c r="L9" s="264">
        <v>2.5</v>
      </c>
      <c r="N9" s="228" t="s">
        <v>256</v>
      </c>
      <c r="O9" s="243">
        <f t="shared" si="6"/>
        <v>0.25</v>
      </c>
      <c r="P9" s="243">
        <f t="shared" si="6"/>
        <v>0</v>
      </c>
      <c r="Q9" s="243">
        <f t="shared" si="6"/>
        <v>0</v>
      </c>
      <c r="R9" s="243">
        <f t="shared" si="6"/>
        <v>0</v>
      </c>
      <c r="S9" s="243">
        <f t="shared" si="6"/>
        <v>2.5</v>
      </c>
      <c r="T9" s="243">
        <f t="shared" si="6"/>
        <v>0</v>
      </c>
      <c r="U9" s="243">
        <f t="shared" si="6"/>
        <v>0</v>
      </c>
      <c r="V9" s="243">
        <f t="shared" si="6"/>
        <v>0</v>
      </c>
      <c r="W9" s="243">
        <f t="shared" si="6"/>
        <v>2.5</v>
      </c>
      <c r="X9" s="243">
        <f t="shared" si="6"/>
        <v>2.5</v>
      </c>
      <c r="Y9" s="243"/>
      <c r="Z9" s="237">
        <f t="shared" si="1"/>
        <v>7.75</v>
      </c>
      <c r="AA9">
        <f t="shared" si="4"/>
        <v>26.04</v>
      </c>
      <c r="AB9">
        <f t="shared" si="2"/>
        <v>13.314040586349529</v>
      </c>
    </row>
    <row r="10" spans="1:28" x14ac:dyDescent="0.3">
      <c r="A10" s="18" t="s">
        <v>219</v>
      </c>
      <c r="B10" s="19">
        <v>15</v>
      </c>
      <c r="C10" s="19">
        <v>12</v>
      </c>
      <c r="D10" s="19"/>
      <c r="E10" s="19"/>
      <c r="F10" s="19">
        <v>20</v>
      </c>
      <c r="G10" s="19">
        <v>12</v>
      </c>
      <c r="H10" s="19">
        <v>12</v>
      </c>
      <c r="I10" s="19">
        <v>5</v>
      </c>
      <c r="J10" s="19"/>
      <c r="K10" s="226">
        <v>15</v>
      </c>
      <c r="L10" s="264">
        <f>3.8/3*10</f>
        <v>12.666666666666666</v>
      </c>
      <c r="N10" s="228" t="s">
        <v>255</v>
      </c>
      <c r="O10" s="243">
        <f t="shared" ref="O10:X10" si="7">B10/100*$L10</f>
        <v>1.9</v>
      </c>
      <c r="P10" s="243">
        <f t="shared" si="7"/>
        <v>1.5199999999999998</v>
      </c>
      <c r="Q10" s="243">
        <f t="shared" si="7"/>
        <v>0</v>
      </c>
      <c r="R10" s="243">
        <f t="shared" si="7"/>
        <v>0</v>
      </c>
      <c r="S10" s="243">
        <f t="shared" si="7"/>
        <v>2.5333333333333332</v>
      </c>
      <c r="T10" s="243">
        <f t="shared" si="7"/>
        <v>1.5199999999999998</v>
      </c>
      <c r="U10" s="243">
        <f t="shared" si="7"/>
        <v>1.5199999999999998</v>
      </c>
      <c r="V10" s="243">
        <f t="shared" si="7"/>
        <v>0.6333333333333333</v>
      </c>
      <c r="W10" s="243">
        <f t="shared" si="7"/>
        <v>0</v>
      </c>
      <c r="X10" s="243">
        <f t="shared" si="7"/>
        <v>1.9</v>
      </c>
      <c r="Y10" s="243"/>
      <c r="Z10" s="237">
        <f t="shared" si="1"/>
        <v>11.526666666666666</v>
      </c>
      <c r="AA10">
        <f t="shared" si="4"/>
        <v>38.729599999999998</v>
      </c>
      <c r="AB10">
        <f t="shared" si="2"/>
        <v>19.802130041977062</v>
      </c>
    </row>
    <row r="11" spans="1:28" x14ac:dyDescent="0.3">
      <c r="A11" s="18" t="s">
        <v>852</v>
      </c>
      <c r="B11" s="19"/>
      <c r="C11" s="19"/>
      <c r="D11" s="19"/>
      <c r="E11" s="19"/>
      <c r="F11" s="19"/>
      <c r="G11" s="19"/>
      <c r="H11" s="19"/>
      <c r="I11" s="19"/>
      <c r="J11" s="19">
        <v>2</v>
      </c>
      <c r="K11" s="226">
        <v>3</v>
      </c>
      <c r="L11" s="264">
        <f>2.5/4</f>
        <v>0.625</v>
      </c>
      <c r="N11" s="228" t="s">
        <v>258</v>
      </c>
      <c r="O11" s="243">
        <f t="shared" ref="O11:X11" si="8">$L11*B11</f>
        <v>0</v>
      </c>
      <c r="P11" s="243">
        <f t="shared" si="8"/>
        <v>0</v>
      </c>
      <c r="Q11" s="243">
        <f t="shared" si="8"/>
        <v>0</v>
      </c>
      <c r="R11" s="243">
        <f t="shared" si="8"/>
        <v>0</v>
      </c>
      <c r="S11" s="243">
        <f t="shared" si="8"/>
        <v>0</v>
      </c>
      <c r="T11" s="243">
        <f t="shared" si="8"/>
        <v>0</v>
      </c>
      <c r="U11" s="243">
        <f t="shared" si="8"/>
        <v>0</v>
      </c>
      <c r="V11" s="243">
        <f t="shared" si="8"/>
        <v>0</v>
      </c>
      <c r="W11" s="243">
        <f t="shared" si="8"/>
        <v>1.25</v>
      </c>
      <c r="X11" s="243">
        <f t="shared" si="8"/>
        <v>1.875</v>
      </c>
      <c r="Y11" s="243"/>
      <c r="Z11" s="237">
        <f t="shared" si="1"/>
        <v>3.125</v>
      </c>
      <c r="AA11">
        <f t="shared" si="4"/>
        <v>10.5</v>
      </c>
      <c r="AB11">
        <f t="shared" si="2"/>
        <v>5.3685647525602942</v>
      </c>
    </row>
    <row r="12" spans="1:28" x14ac:dyDescent="0.3">
      <c r="A12" s="18" t="s">
        <v>220</v>
      </c>
      <c r="B12" s="19"/>
      <c r="C12" s="19"/>
      <c r="D12" s="19"/>
      <c r="E12" s="19"/>
      <c r="F12" s="19"/>
      <c r="G12" s="19"/>
      <c r="H12" s="19"/>
      <c r="I12" s="19"/>
      <c r="J12" s="19"/>
      <c r="K12" s="226"/>
      <c r="L12" s="264">
        <v>2.5</v>
      </c>
      <c r="N12" s="228" t="s">
        <v>255</v>
      </c>
      <c r="O12" s="243">
        <f t="shared" ref="O12:X12" si="9">B12/100*$L12</f>
        <v>0</v>
      </c>
      <c r="P12" s="243">
        <f t="shared" si="9"/>
        <v>0</v>
      </c>
      <c r="Q12" s="243">
        <f t="shared" si="9"/>
        <v>0</v>
      </c>
      <c r="R12" s="243">
        <f t="shared" si="9"/>
        <v>0</v>
      </c>
      <c r="S12" s="243">
        <f t="shared" si="9"/>
        <v>0</v>
      </c>
      <c r="T12" s="243">
        <f t="shared" si="9"/>
        <v>0</v>
      </c>
      <c r="U12" s="243">
        <f t="shared" si="9"/>
        <v>0</v>
      </c>
      <c r="V12" s="243">
        <f t="shared" si="9"/>
        <v>0</v>
      </c>
      <c r="W12" s="243">
        <f t="shared" si="9"/>
        <v>0</v>
      </c>
      <c r="X12" s="243">
        <f t="shared" si="9"/>
        <v>0</v>
      </c>
      <c r="Y12" s="19"/>
      <c r="Z12" s="237">
        <f t="shared" si="1"/>
        <v>0</v>
      </c>
      <c r="AA12">
        <f t="shared" si="4"/>
        <v>0</v>
      </c>
      <c r="AB12">
        <f t="shared" si="2"/>
        <v>0</v>
      </c>
    </row>
    <row r="13" spans="1:28" x14ac:dyDescent="0.3">
      <c r="A13" s="18" t="s">
        <v>221</v>
      </c>
      <c r="B13" s="19"/>
      <c r="C13" s="19"/>
      <c r="D13" s="19"/>
      <c r="E13" s="19"/>
      <c r="F13" s="19"/>
      <c r="G13" s="19"/>
      <c r="H13" s="19"/>
      <c r="I13" s="19"/>
      <c r="J13" s="19"/>
      <c r="K13" s="226">
        <v>0.3</v>
      </c>
      <c r="L13" s="264">
        <v>6.5</v>
      </c>
      <c r="N13" s="228" t="s">
        <v>256</v>
      </c>
      <c r="O13" s="243">
        <f t="shared" ref="O13:O24" si="10">$L13*B13</f>
        <v>0</v>
      </c>
      <c r="P13" s="243">
        <f t="shared" ref="P13:P24" si="11">$L13*C13</f>
        <v>0</v>
      </c>
      <c r="Q13" s="243">
        <f t="shared" ref="Q13:Q24" si="12">$L13*D13</f>
        <v>0</v>
      </c>
      <c r="R13" s="243">
        <f t="shared" ref="R13:R24" si="13">$L13*E13</f>
        <v>0</v>
      </c>
      <c r="S13" s="243">
        <f t="shared" ref="S13:S24" si="14">$L13*F13</f>
        <v>0</v>
      </c>
      <c r="T13" s="243">
        <f t="shared" ref="T13:T24" si="15">$L13*G13</f>
        <v>0</v>
      </c>
      <c r="U13" s="243">
        <f t="shared" ref="U13:U24" si="16">$L13*H13</f>
        <v>0</v>
      </c>
      <c r="V13" s="243">
        <f t="shared" ref="V13:V24" si="17">$L13*I13</f>
        <v>0</v>
      </c>
      <c r="W13" s="243">
        <f t="shared" ref="W13:W24" si="18">$L13*J13</f>
        <v>0</v>
      </c>
      <c r="X13" s="243">
        <f t="shared" ref="X13:X24" si="19">$L13*K13</f>
        <v>1.95</v>
      </c>
      <c r="Y13" s="19"/>
      <c r="Z13" s="237">
        <f t="shared" si="1"/>
        <v>1.95</v>
      </c>
      <c r="AA13">
        <f t="shared" si="4"/>
        <v>6.5519999999999996</v>
      </c>
      <c r="AB13">
        <f t="shared" si="2"/>
        <v>3.3499844055976236</v>
      </c>
    </row>
    <row r="14" spans="1:28" x14ac:dyDescent="0.3">
      <c r="A14" s="18" t="s">
        <v>222</v>
      </c>
      <c r="B14" s="19"/>
      <c r="C14" s="19"/>
      <c r="D14" s="19"/>
      <c r="E14" s="19"/>
      <c r="F14" s="19"/>
      <c r="G14" s="19"/>
      <c r="H14" s="19"/>
      <c r="I14" s="19"/>
      <c r="J14" s="19"/>
      <c r="K14" s="226"/>
      <c r="L14" s="264">
        <v>1.5</v>
      </c>
      <c r="N14" s="228" t="s">
        <v>259</v>
      </c>
      <c r="O14" s="243">
        <f t="shared" si="10"/>
        <v>0</v>
      </c>
      <c r="P14" s="243">
        <f t="shared" si="11"/>
        <v>0</v>
      </c>
      <c r="Q14" s="243">
        <f t="shared" si="12"/>
        <v>0</v>
      </c>
      <c r="R14" s="243">
        <f t="shared" si="13"/>
        <v>0</v>
      </c>
      <c r="S14" s="243">
        <f t="shared" si="14"/>
        <v>0</v>
      </c>
      <c r="T14" s="243">
        <f t="shared" si="15"/>
        <v>0</v>
      </c>
      <c r="U14" s="243">
        <f t="shared" si="16"/>
        <v>0</v>
      </c>
      <c r="V14" s="243">
        <f t="shared" si="17"/>
        <v>0</v>
      </c>
      <c r="W14" s="243">
        <f t="shared" si="18"/>
        <v>0</v>
      </c>
      <c r="X14" s="243">
        <f t="shared" si="19"/>
        <v>0</v>
      </c>
      <c r="Y14" s="19"/>
      <c r="Z14" s="237">
        <f t="shared" si="1"/>
        <v>0</v>
      </c>
      <c r="AA14">
        <f t="shared" si="4"/>
        <v>0</v>
      </c>
      <c r="AB14">
        <f t="shared" si="2"/>
        <v>0</v>
      </c>
    </row>
    <row r="15" spans="1:28" x14ac:dyDescent="0.3">
      <c r="A15" s="18" t="s">
        <v>223</v>
      </c>
      <c r="B15" s="19"/>
      <c r="C15" s="19"/>
      <c r="D15" s="19"/>
      <c r="E15" s="19"/>
      <c r="F15" s="19"/>
      <c r="G15" s="19"/>
      <c r="H15" s="19"/>
      <c r="I15" s="19">
        <v>0.5</v>
      </c>
      <c r="J15" s="19"/>
      <c r="K15" s="226"/>
      <c r="L15" s="264">
        <v>18</v>
      </c>
      <c r="N15" s="228" t="s">
        <v>255</v>
      </c>
      <c r="O15" s="243">
        <f t="shared" si="10"/>
        <v>0</v>
      </c>
      <c r="P15" s="243">
        <f t="shared" si="11"/>
        <v>0</v>
      </c>
      <c r="Q15" s="243">
        <f t="shared" si="12"/>
        <v>0</v>
      </c>
      <c r="R15" s="243">
        <f t="shared" si="13"/>
        <v>0</v>
      </c>
      <c r="S15" s="243">
        <f t="shared" si="14"/>
        <v>0</v>
      </c>
      <c r="T15" s="243">
        <f t="shared" si="15"/>
        <v>0</v>
      </c>
      <c r="U15" s="243">
        <f t="shared" si="16"/>
        <v>0</v>
      </c>
      <c r="V15" s="243">
        <f t="shared" si="17"/>
        <v>9</v>
      </c>
      <c r="W15" s="243">
        <f t="shared" si="18"/>
        <v>0</v>
      </c>
      <c r="X15" s="243">
        <f t="shared" si="19"/>
        <v>0</v>
      </c>
      <c r="Y15" s="19"/>
      <c r="Z15" s="237">
        <f t="shared" si="1"/>
        <v>9</v>
      </c>
      <c r="AA15">
        <f t="shared" si="4"/>
        <v>30.24</v>
      </c>
      <c r="AB15">
        <f t="shared" si="2"/>
        <v>15.461466487373647</v>
      </c>
    </row>
    <row r="16" spans="1:28" x14ac:dyDescent="0.3">
      <c r="A16" s="18" t="s">
        <v>883</v>
      </c>
      <c r="B16" s="19">
        <v>2</v>
      </c>
      <c r="C16" s="19"/>
      <c r="D16" s="19">
        <v>1</v>
      </c>
      <c r="E16" s="19">
        <v>2</v>
      </c>
      <c r="F16" s="19"/>
      <c r="G16" s="19"/>
      <c r="H16" s="19"/>
      <c r="I16" s="19">
        <v>1</v>
      </c>
      <c r="J16" s="19">
        <v>2</v>
      </c>
      <c r="K16" s="226">
        <v>2</v>
      </c>
      <c r="L16" s="264">
        <f>1.5/10</f>
        <v>0.15</v>
      </c>
      <c r="N16" s="228" t="s">
        <v>258</v>
      </c>
      <c r="O16" s="243">
        <f t="shared" si="10"/>
        <v>0.3</v>
      </c>
      <c r="P16" s="243">
        <f t="shared" si="11"/>
        <v>0</v>
      </c>
      <c r="Q16" s="243">
        <f t="shared" si="12"/>
        <v>0.15</v>
      </c>
      <c r="R16" s="243">
        <f t="shared" si="13"/>
        <v>0.3</v>
      </c>
      <c r="S16" s="243">
        <f t="shared" si="14"/>
        <v>0</v>
      </c>
      <c r="T16" s="243">
        <f t="shared" si="15"/>
        <v>0</v>
      </c>
      <c r="U16" s="243">
        <f t="shared" si="16"/>
        <v>0</v>
      </c>
      <c r="V16" s="243">
        <f t="shared" si="17"/>
        <v>0.15</v>
      </c>
      <c r="W16" s="243">
        <f t="shared" si="18"/>
        <v>0.3</v>
      </c>
      <c r="X16" s="243">
        <f t="shared" si="19"/>
        <v>0.3</v>
      </c>
      <c r="Y16" s="19"/>
      <c r="Z16" s="237">
        <f t="shared" si="1"/>
        <v>1.5</v>
      </c>
      <c r="AA16">
        <f t="shared" si="4"/>
        <v>5.04</v>
      </c>
      <c r="AB16">
        <f t="shared" si="2"/>
        <v>2.5769110812289413</v>
      </c>
    </row>
    <row r="17" spans="1:28" x14ac:dyDescent="0.3">
      <c r="A17" s="18" t="s">
        <v>205</v>
      </c>
      <c r="B17" s="19"/>
      <c r="C17" s="19"/>
      <c r="D17" s="19"/>
      <c r="E17" s="19"/>
      <c r="F17" s="19"/>
      <c r="G17" s="19">
        <v>15</v>
      </c>
      <c r="H17" s="19">
        <v>15</v>
      </c>
      <c r="I17" s="19"/>
      <c r="J17" s="19"/>
      <c r="K17" s="226"/>
      <c r="L17" s="264">
        <v>0.2</v>
      </c>
      <c r="N17" s="228" t="s">
        <v>258</v>
      </c>
      <c r="O17" s="243">
        <f t="shared" si="10"/>
        <v>0</v>
      </c>
      <c r="P17" s="243">
        <f t="shared" si="11"/>
        <v>0</v>
      </c>
      <c r="Q17" s="243">
        <f t="shared" si="12"/>
        <v>0</v>
      </c>
      <c r="R17" s="243">
        <f t="shared" si="13"/>
        <v>0</v>
      </c>
      <c r="S17" s="243">
        <f t="shared" si="14"/>
        <v>0</v>
      </c>
      <c r="T17" s="243">
        <f t="shared" si="15"/>
        <v>3</v>
      </c>
      <c r="U17" s="243">
        <f t="shared" si="16"/>
        <v>3</v>
      </c>
      <c r="V17" s="243">
        <f t="shared" si="17"/>
        <v>0</v>
      </c>
      <c r="W17" s="243">
        <f t="shared" si="18"/>
        <v>0</v>
      </c>
      <c r="X17" s="243">
        <f t="shared" si="19"/>
        <v>0</v>
      </c>
      <c r="Y17" s="19"/>
      <c r="Z17" s="237">
        <f t="shared" si="1"/>
        <v>6</v>
      </c>
      <c r="AA17">
        <f t="shared" si="4"/>
        <v>20.16</v>
      </c>
      <c r="AB17">
        <f t="shared" si="2"/>
        <v>10.307644324915765</v>
      </c>
    </row>
    <row r="18" spans="1:28" x14ac:dyDescent="0.3">
      <c r="A18" s="18" t="s">
        <v>204</v>
      </c>
      <c r="B18" s="19"/>
      <c r="C18" s="19"/>
      <c r="D18" s="19"/>
      <c r="E18" s="19"/>
      <c r="F18" s="19">
        <v>1</v>
      </c>
      <c r="G18" s="19">
        <v>1</v>
      </c>
      <c r="H18" s="19">
        <v>1</v>
      </c>
      <c r="I18" s="19"/>
      <c r="J18" s="19"/>
      <c r="K18" s="226"/>
      <c r="L18" s="264">
        <v>2.5</v>
      </c>
      <c r="N18" s="228" t="s">
        <v>258</v>
      </c>
      <c r="O18" s="243">
        <f t="shared" si="10"/>
        <v>0</v>
      </c>
      <c r="P18" s="243">
        <f t="shared" si="11"/>
        <v>0</v>
      </c>
      <c r="Q18" s="243">
        <f t="shared" si="12"/>
        <v>0</v>
      </c>
      <c r="R18" s="243">
        <f t="shared" si="13"/>
        <v>0</v>
      </c>
      <c r="S18" s="243">
        <f t="shared" si="14"/>
        <v>2.5</v>
      </c>
      <c r="T18" s="243">
        <f t="shared" si="15"/>
        <v>2.5</v>
      </c>
      <c r="U18" s="243">
        <f t="shared" si="16"/>
        <v>2.5</v>
      </c>
      <c r="V18" s="243">
        <f t="shared" si="17"/>
        <v>0</v>
      </c>
      <c r="W18" s="243">
        <f t="shared" si="18"/>
        <v>0</v>
      </c>
      <c r="X18" s="243">
        <f t="shared" si="19"/>
        <v>0</v>
      </c>
      <c r="Y18" s="19"/>
      <c r="Z18" s="237">
        <f t="shared" si="1"/>
        <v>7.5</v>
      </c>
      <c r="AA18">
        <f t="shared" si="4"/>
        <v>25.2</v>
      </c>
      <c r="AB18">
        <f t="shared" si="2"/>
        <v>12.884555406144706</v>
      </c>
    </row>
    <row r="19" spans="1:28" x14ac:dyDescent="0.3">
      <c r="A19" s="18" t="s">
        <v>224</v>
      </c>
      <c r="B19" s="19"/>
      <c r="C19" s="19">
        <v>1</v>
      </c>
      <c r="D19" s="19"/>
      <c r="E19" s="19"/>
      <c r="F19" s="19"/>
      <c r="G19" s="19"/>
      <c r="H19" s="19"/>
      <c r="I19" s="19"/>
      <c r="J19" s="19">
        <v>1</v>
      </c>
      <c r="K19" s="226"/>
      <c r="L19" s="264">
        <v>2</v>
      </c>
      <c r="N19" s="228" t="s">
        <v>257</v>
      </c>
      <c r="O19" s="243">
        <f t="shared" si="10"/>
        <v>0</v>
      </c>
      <c r="P19" s="243">
        <f t="shared" si="11"/>
        <v>2</v>
      </c>
      <c r="Q19" s="243">
        <f t="shared" si="12"/>
        <v>0</v>
      </c>
      <c r="R19" s="243">
        <f t="shared" si="13"/>
        <v>0</v>
      </c>
      <c r="S19" s="243">
        <f t="shared" si="14"/>
        <v>0</v>
      </c>
      <c r="T19" s="243">
        <f t="shared" si="15"/>
        <v>0</v>
      </c>
      <c r="U19" s="243">
        <f t="shared" si="16"/>
        <v>0</v>
      </c>
      <c r="V19" s="243">
        <f t="shared" si="17"/>
        <v>0</v>
      </c>
      <c r="W19" s="243">
        <f t="shared" si="18"/>
        <v>2</v>
      </c>
      <c r="X19" s="243">
        <f t="shared" si="19"/>
        <v>0</v>
      </c>
      <c r="Y19" s="19"/>
      <c r="Z19" s="237">
        <f t="shared" si="1"/>
        <v>4</v>
      </c>
      <c r="AA19">
        <f t="shared" si="4"/>
        <v>13.44</v>
      </c>
      <c r="AB19">
        <f t="shared" si="2"/>
        <v>6.8717628832771762</v>
      </c>
    </row>
    <row r="20" spans="1:28" x14ac:dyDescent="0.3">
      <c r="A20" s="18" t="s">
        <v>225</v>
      </c>
      <c r="B20" s="19"/>
      <c r="C20" s="19"/>
      <c r="D20" s="19"/>
      <c r="E20" s="19">
        <v>1</v>
      </c>
      <c r="F20" s="19"/>
      <c r="G20" s="19"/>
      <c r="H20" s="19">
        <v>1</v>
      </c>
      <c r="I20" s="19"/>
      <c r="J20" s="19"/>
      <c r="K20" s="226">
        <v>1.8</v>
      </c>
      <c r="L20" s="264">
        <v>2</v>
      </c>
      <c r="N20" s="228" t="s">
        <v>257</v>
      </c>
      <c r="O20" s="243">
        <f t="shared" si="10"/>
        <v>0</v>
      </c>
      <c r="P20" s="243">
        <f t="shared" si="11"/>
        <v>0</v>
      </c>
      <c r="Q20" s="243">
        <f t="shared" si="12"/>
        <v>0</v>
      </c>
      <c r="R20" s="243">
        <f t="shared" si="13"/>
        <v>2</v>
      </c>
      <c r="S20" s="243">
        <f t="shared" si="14"/>
        <v>0</v>
      </c>
      <c r="T20" s="243">
        <f t="shared" si="15"/>
        <v>0</v>
      </c>
      <c r="U20" s="243">
        <f t="shared" si="16"/>
        <v>2</v>
      </c>
      <c r="V20" s="243">
        <f t="shared" si="17"/>
        <v>0</v>
      </c>
      <c r="W20" s="243">
        <f t="shared" si="18"/>
        <v>0</v>
      </c>
      <c r="X20" s="243">
        <f t="shared" si="19"/>
        <v>3.6</v>
      </c>
      <c r="Y20" s="19"/>
      <c r="Z20" s="237">
        <f t="shared" si="1"/>
        <v>7.6</v>
      </c>
      <c r="AA20">
        <f t="shared" si="4"/>
        <v>25.535999999999998</v>
      </c>
      <c r="AB20">
        <f t="shared" si="2"/>
        <v>13.056349478226634</v>
      </c>
    </row>
    <row r="21" spans="1:28" x14ac:dyDescent="0.3">
      <c r="A21" s="18" t="s">
        <v>226</v>
      </c>
      <c r="B21" s="19"/>
      <c r="C21" s="19"/>
      <c r="D21" s="19"/>
      <c r="E21" s="19">
        <v>0.3</v>
      </c>
      <c r="F21" s="19"/>
      <c r="G21" s="19"/>
      <c r="H21" s="19"/>
      <c r="I21" s="19"/>
      <c r="J21" s="19">
        <v>0.2</v>
      </c>
      <c r="K21" s="226"/>
      <c r="L21" s="264">
        <v>2</v>
      </c>
      <c r="N21" s="228" t="s">
        <v>257</v>
      </c>
      <c r="O21" s="243">
        <f t="shared" si="10"/>
        <v>0</v>
      </c>
      <c r="P21" s="243">
        <f t="shared" si="11"/>
        <v>0</v>
      </c>
      <c r="Q21" s="243">
        <f t="shared" si="12"/>
        <v>0</v>
      </c>
      <c r="R21" s="243">
        <f t="shared" si="13"/>
        <v>0.6</v>
      </c>
      <c r="S21" s="243">
        <f t="shared" si="14"/>
        <v>0</v>
      </c>
      <c r="T21" s="243">
        <f t="shared" si="15"/>
        <v>0</v>
      </c>
      <c r="U21" s="243">
        <f t="shared" si="16"/>
        <v>0</v>
      </c>
      <c r="V21" s="243">
        <f t="shared" si="17"/>
        <v>0</v>
      </c>
      <c r="W21" s="243">
        <f t="shared" si="18"/>
        <v>0.4</v>
      </c>
      <c r="X21" s="243">
        <f t="shared" si="19"/>
        <v>0</v>
      </c>
      <c r="Y21" s="19"/>
      <c r="Z21" s="237">
        <f t="shared" si="1"/>
        <v>1</v>
      </c>
      <c r="AA21">
        <f t="shared" si="4"/>
        <v>3.36</v>
      </c>
      <c r="AB21">
        <f t="shared" si="2"/>
        <v>1.7179407208192941</v>
      </c>
    </row>
    <row r="22" spans="1:28" x14ac:dyDescent="0.3">
      <c r="A22" s="18" t="s">
        <v>227</v>
      </c>
      <c r="B22" s="19"/>
      <c r="C22" s="19"/>
      <c r="D22" s="19"/>
      <c r="E22" s="19"/>
      <c r="F22" s="19"/>
      <c r="G22" s="19"/>
      <c r="H22" s="19"/>
      <c r="I22" s="19"/>
      <c r="J22" s="19"/>
      <c r="K22" s="226">
        <v>0.8</v>
      </c>
      <c r="L22" s="264">
        <v>3</v>
      </c>
      <c r="N22" s="228" t="s">
        <v>257</v>
      </c>
      <c r="O22" s="243">
        <f t="shared" si="10"/>
        <v>0</v>
      </c>
      <c r="P22" s="243">
        <f t="shared" si="11"/>
        <v>0</v>
      </c>
      <c r="Q22" s="243">
        <f t="shared" si="12"/>
        <v>0</v>
      </c>
      <c r="R22" s="243">
        <f t="shared" si="13"/>
        <v>0</v>
      </c>
      <c r="S22" s="243">
        <f t="shared" si="14"/>
        <v>0</v>
      </c>
      <c r="T22" s="243">
        <f t="shared" si="15"/>
        <v>0</v>
      </c>
      <c r="U22" s="243">
        <f t="shared" si="16"/>
        <v>0</v>
      </c>
      <c r="V22" s="243">
        <f t="shared" si="17"/>
        <v>0</v>
      </c>
      <c r="W22" s="243">
        <f t="shared" si="18"/>
        <v>0</v>
      </c>
      <c r="X22" s="243">
        <f t="shared" si="19"/>
        <v>2.4000000000000004</v>
      </c>
      <c r="Y22" s="19"/>
      <c r="Z22" s="237">
        <f t="shared" si="1"/>
        <v>2.4000000000000004</v>
      </c>
      <c r="AA22">
        <f t="shared" si="4"/>
        <v>8.0640000000000001</v>
      </c>
      <c r="AB22">
        <f t="shared" si="2"/>
        <v>4.1230577299663063</v>
      </c>
    </row>
    <row r="23" spans="1:28" x14ac:dyDescent="0.3">
      <c r="A23" s="18" t="s">
        <v>228</v>
      </c>
      <c r="B23" s="19"/>
      <c r="C23" s="19"/>
      <c r="D23" s="19"/>
      <c r="E23" s="19"/>
      <c r="F23" s="19"/>
      <c r="G23" s="19"/>
      <c r="H23" s="19">
        <v>1</v>
      </c>
      <c r="I23" s="19"/>
      <c r="J23" s="19"/>
      <c r="K23" s="226"/>
      <c r="L23" s="264">
        <v>4</v>
      </c>
      <c r="N23" s="228" t="s">
        <v>259</v>
      </c>
      <c r="O23" s="243">
        <f t="shared" si="10"/>
        <v>0</v>
      </c>
      <c r="P23" s="243">
        <f t="shared" si="11"/>
        <v>0</v>
      </c>
      <c r="Q23" s="243">
        <f t="shared" si="12"/>
        <v>0</v>
      </c>
      <c r="R23" s="243">
        <f t="shared" si="13"/>
        <v>0</v>
      </c>
      <c r="S23" s="243">
        <f t="shared" si="14"/>
        <v>0</v>
      </c>
      <c r="T23" s="243">
        <f t="shared" si="15"/>
        <v>0</v>
      </c>
      <c r="U23" s="243">
        <f t="shared" si="16"/>
        <v>4</v>
      </c>
      <c r="V23" s="243">
        <f t="shared" si="17"/>
        <v>0</v>
      </c>
      <c r="W23" s="243">
        <f t="shared" si="18"/>
        <v>0</v>
      </c>
      <c r="X23" s="243">
        <f t="shared" si="19"/>
        <v>0</v>
      </c>
      <c r="Y23" s="19"/>
      <c r="Z23" s="237">
        <f t="shared" si="1"/>
        <v>4</v>
      </c>
      <c r="AA23">
        <f t="shared" si="4"/>
        <v>13.44</v>
      </c>
      <c r="AB23">
        <f t="shared" si="2"/>
        <v>6.8717628832771762</v>
      </c>
    </row>
    <row r="24" spans="1:28" ht="15" thickBot="1" x14ac:dyDescent="0.35">
      <c r="A24" s="18" t="s">
        <v>229</v>
      </c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226">
        <v>1</v>
      </c>
      <c r="L24" s="265">
        <v>1.2</v>
      </c>
      <c r="O24" s="243">
        <f t="shared" si="10"/>
        <v>1.2</v>
      </c>
      <c r="P24" s="243">
        <f t="shared" si="11"/>
        <v>1.2</v>
      </c>
      <c r="Q24" s="243">
        <f t="shared" si="12"/>
        <v>1.2</v>
      </c>
      <c r="R24" s="243">
        <f t="shared" si="13"/>
        <v>1.2</v>
      </c>
      <c r="S24" s="243">
        <f t="shared" si="14"/>
        <v>1.2</v>
      </c>
      <c r="T24" s="243">
        <f t="shared" si="15"/>
        <v>1.2</v>
      </c>
      <c r="U24" s="243">
        <f t="shared" si="16"/>
        <v>1.2</v>
      </c>
      <c r="V24" s="243">
        <f t="shared" si="17"/>
        <v>1.2</v>
      </c>
      <c r="W24" s="243">
        <f t="shared" si="18"/>
        <v>1.2</v>
      </c>
      <c r="X24" s="243">
        <f t="shared" si="19"/>
        <v>1.2</v>
      </c>
      <c r="Y24" s="19"/>
      <c r="Z24" s="237">
        <f t="shared" si="1"/>
        <v>11.999999999999998</v>
      </c>
      <c r="AA24">
        <f t="shared" si="4"/>
        <v>40.319999999999993</v>
      </c>
      <c r="AB24">
        <f t="shared" si="2"/>
        <v>20.615288649831527</v>
      </c>
    </row>
    <row r="25" spans="1:28" x14ac:dyDescent="0.3">
      <c r="A25" s="262"/>
      <c r="B25" s="263"/>
      <c r="C25" s="263"/>
      <c r="D25" s="263"/>
      <c r="E25" s="263"/>
      <c r="F25" s="263"/>
      <c r="G25" s="263"/>
      <c r="H25" s="263"/>
      <c r="I25" s="263"/>
      <c r="J25" s="263"/>
      <c r="K25" s="263"/>
      <c r="O25" s="237">
        <f t="shared" ref="O25:X25" si="20">SUM(O2:O24)</f>
        <v>15.500000000000002</v>
      </c>
      <c r="P25" s="237">
        <f t="shared" si="20"/>
        <v>20.245000000000001</v>
      </c>
      <c r="Q25" s="237">
        <f t="shared" si="20"/>
        <v>14.124999999999998</v>
      </c>
      <c r="R25" s="237">
        <f t="shared" si="20"/>
        <v>11.35</v>
      </c>
      <c r="S25" s="237">
        <f t="shared" si="20"/>
        <v>17.583333333333332</v>
      </c>
      <c r="T25" s="237">
        <f t="shared" si="20"/>
        <v>18.77</v>
      </c>
      <c r="U25" s="237">
        <f t="shared" si="20"/>
        <v>23.37</v>
      </c>
      <c r="V25" s="237">
        <f t="shared" si="20"/>
        <v>21.608333333333331</v>
      </c>
      <c r="W25" s="237">
        <f t="shared" si="20"/>
        <v>13.675000000000002</v>
      </c>
      <c r="X25" s="237">
        <f t="shared" si="20"/>
        <v>19.425000000000001</v>
      </c>
      <c r="Y25" s="267" t="s">
        <v>230</v>
      </c>
      <c r="Z25" s="237">
        <f>SUM(Z2:Z24)</f>
        <v>175.6516666666667</v>
      </c>
      <c r="AA25">
        <f t="shared" si="4"/>
        <v>590.18960000000004</v>
      </c>
    </row>
    <row r="26" spans="1:28" x14ac:dyDescent="0.3">
      <c r="A26" s="18" t="s">
        <v>231</v>
      </c>
      <c r="B26" s="19">
        <v>2</v>
      </c>
      <c r="C26" s="19">
        <v>2</v>
      </c>
      <c r="D26" s="19">
        <v>1.5</v>
      </c>
      <c r="E26" s="19">
        <v>1</v>
      </c>
      <c r="F26" s="19">
        <v>1.2</v>
      </c>
      <c r="G26" s="19">
        <v>1.2</v>
      </c>
      <c r="H26" s="19">
        <v>1.2</v>
      </c>
      <c r="I26" s="19">
        <v>1.2</v>
      </c>
      <c r="J26" s="19">
        <v>2</v>
      </c>
      <c r="K26" s="19">
        <v>2</v>
      </c>
      <c r="O26"/>
      <c r="P26"/>
      <c r="Q26"/>
      <c r="R26"/>
      <c r="S26"/>
      <c r="T26"/>
      <c r="U26"/>
      <c r="V26"/>
      <c r="W26"/>
      <c r="X26" s="236"/>
      <c r="Y26" s="267" t="s">
        <v>232</v>
      </c>
      <c r="Z26" s="237">
        <f>SUM(B26:K26)</f>
        <v>15.299999999999999</v>
      </c>
      <c r="AA26">
        <f t="shared" si="4"/>
        <v>51.407999999999994</v>
      </c>
    </row>
    <row r="27" spans="1:28" x14ac:dyDescent="0.3">
      <c r="B27">
        <f>SUM(B26:K26)</f>
        <v>15.299999999999999</v>
      </c>
      <c r="O27"/>
      <c r="P27"/>
      <c r="Q27"/>
      <c r="R27"/>
      <c r="S27"/>
      <c r="T27"/>
      <c r="U27"/>
      <c r="V27"/>
      <c r="W27"/>
      <c r="X27" s="236"/>
      <c r="Y27" s="267" t="s">
        <v>233</v>
      </c>
      <c r="Z27" s="267">
        <f>Z25/Z26</f>
        <v>11.480501089324621</v>
      </c>
      <c r="AA27" t="s">
        <v>234</v>
      </c>
    </row>
    <row r="28" spans="1:28" x14ac:dyDescent="0.3">
      <c r="Z28" s="107">
        <f>Z27/1.95583</f>
        <v>5.8698869990360212</v>
      </c>
    </row>
    <row r="29" spans="1:28" x14ac:dyDescent="0.3">
      <c r="X29" s="109">
        <f>Z28*35</f>
        <v>205.44604496626073</v>
      </c>
      <c r="Z29" s="107">
        <f>Z28*3</f>
        <v>17.609660997108065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BF49"/>
  <sheetViews>
    <sheetView zoomScale="70" zoomScaleNormal="70" workbookViewId="0"/>
  </sheetViews>
  <sheetFormatPr defaultRowHeight="14.4" x14ac:dyDescent="0.3"/>
  <cols>
    <col min="1" max="1" width="31.88671875" customWidth="1"/>
    <col min="2" max="2" width="9.109375" customWidth="1"/>
    <col min="3" max="3" width="10.21875" customWidth="1"/>
    <col min="4" max="4" width="12" customWidth="1"/>
    <col min="5" max="5" width="12.6640625" customWidth="1"/>
    <col min="6" max="6" width="13.5546875" customWidth="1"/>
    <col min="8" max="8" width="13" customWidth="1"/>
    <col min="9" max="9" width="18.109375" style="108" customWidth="1"/>
    <col min="10" max="11" width="17.109375" style="108" customWidth="1"/>
    <col min="12" max="12" width="18.44140625" style="115" customWidth="1"/>
    <col min="13" max="13" width="8.88671875" style="109"/>
    <col min="14" max="14" width="11.33203125" style="109" customWidth="1"/>
    <col min="15" max="15" width="10.109375" style="109" customWidth="1"/>
    <col min="16" max="16" width="13" style="109" customWidth="1"/>
    <col min="17" max="17" width="11.5546875" style="109" customWidth="1"/>
    <col min="18" max="18" width="8.88671875" style="109"/>
    <col min="19" max="19" width="14.77734375" style="109" customWidth="1"/>
    <col min="20" max="20" width="12.5546875" style="107" customWidth="1"/>
    <col min="21" max="21" width="8.88671875" style="107"/>
    <col min="22" max="22" width="18.6640625" customWidth="1"/>
    <col min="23" max="23" width="10.109375" style="109" customWidth="1"/>
    <col min="24" max="24" width="11.109375" style="109" customWidth="1"/>
    <col min="25" max="25" width="11.21875" style="109" customWidth="1"/>
    <col min="26" max="26" width="13.33203125" style="109" customWidth="1"/>
    <col min="27" max="27" width="13.109375" style="109" customWidth="1"/>
    <col min="28" max="28" width="8.88671875" style="109"/>
    <col min="29" max="29" width="14" style="109" customWidth="1"/>
    <col min="30" max="30" width="11.5546875" style="108" customWidth="1"/>
    <col min="31" max="31" width="9" style="109" bestFit="1" customWidth="1"/>
    <col min="33" max="33" width="11" style="109" customWidth="1"/>
    <col min="34" max="34" width="10.33203125" style="109" bestFit="1" customWidth="1"/>
    <col min="35" max="35" width="11.88671875" style="109" customWidth="1"/>
    <col min="36" max="36" width="13.77734375" style="109" customWidth="1"/>
    <col min="37" max="37" width="13" style="109" bestFit="1" customWidth="1"/>
    <col min="38" max="38" width="11" style="109" bestFit="1" customWidth="1"/>
    <col min="39" max="39" width="13.21875" style="109" customWidth="1"/>
    <col min="40" max="40" width="12" style="108" customWidth="1"/>
    <col min="41" max="41" width="9" style="109" bestFit="1" customWidth="1"/>
  </cols>
  <sheetData>
    <row r="1" spans="1:58" s="122" customFormat="1" ht="29.4" thickBot="1" x14ac:dyDescent="0.35">
      <c r="A1" s="217" t="s">
        <v>199</v>
      </c>
      <c r="B1" s="218" t="s">
        <v>235</v>
      </c>
      <c r="C1" s="218" t="s">
        <v>236</v>
      </c>
      <c r="D1" s="218" t="s">
        <v>847</v>
      </c>
      <c r="E1" s="218" t="s">
        <v>848</v>
      </c>
      <c r="F1" s="218" t="s">
        <v>186</v>
      </c>
      <c r="G1" s="218" t="s">
        <v>237</v>
      </c>
      <c r="H1" s="219" t="s">
        <v>187</v>
      </c>
      <c r="I1" s="242" t="s">
        <v>849</v>
      </c>
      <c r="J1" s="220" t="s">
        <v>252</v>
      </c>
      <c r="K1" s="108"/>
      <c r="L1" s="115"/>
      <c r="M1" s="218" t="s">
        <v>235</v>
      </c>
      <c r="N1" s="218" t="s">
        <v>236</v>
      </c>
      <c r="O1" s="218" t="s">
        <v>847</v>
      </c>
      <c r="P1" s="218" t="s">
        <v>848</v>
      </c>
      <c r="Q1" s="218" t="s">
        <v>186</v>
      </c>
      <c r="R1" s="218" t="s">
        <v>237</v>
      </c>
      <c r="S1" s="219" t="s">
        <v>187</v>
      </c>
      <c r="T1" s="230" t="s">
        <v>210</v>
      </c>
      <c r="U1" s="231" t="s">
        <v>252</v>
      </c>
      <c r="V1"/>
      <c r="W1" s="218" t="s">
        <v>235</v>
      </c>
      <c r="X1" s="218" t="s">
        <v>236</v>
      </c>
      <c r="Y1" s="218" t="s">
        <v>847</v>
      </c>
      <c r="Z1" s="218" t="s">
        <v>848</v>
      </c>
      <c r="AA1" s="218" t="s">
        <v>186</v>
      </c>
      <c r="AB1" s="218" t="s">
        <v>237</v>
      </c>
      <c r="AC1" s="219" t="s">
        <v>187</v>
      </c>
      <c r="AD1" s="247" t="s">
        <v>210</v>
      </c>
      <c r="AE1" s="248" t="s">
        <v>850</v>
      </c>
      <c r="AG1" s="218" t="s">
        <v>235</v>
      </c>
      <c r="AH1" s="218" t="s">
        <v>236</v>
      </c>
      <c r="AI1" s="218" t="s">
        <v>847</v>
      </c>
      <c r="AJ1" s="218" t="s">
        <v>848</v>
      </c>
      <c r="AK1" s="218" t="s">
        <v>186</v>
      </c>
      <c r="AL1" s="218" t="s">
        <v>237</v>
      </c>
      <c r="AM1" s="218" t="s">
        <v>187</v>
      </c>
      <c r="AN1" s="255" t="s">
        <v>210</v>
      </c>
      <c r="AO1" s="256" t="s">
        <v>850</v>
      </c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</row>
    <row r="2" spans="1:58" x14ac:dyDescent="0.3">
      <c r="A2" s="221" t="s">
        <v>212</v>
      </c>
      <c r="B2" s="19">
        <v>0.7</v>
      </c>
      <c r="C2" s="19">
        <v>0.25</v>
      </c>
      <c r="D2" s="19">
        <v>0.6</v>
      </c>
      <c r="E2" s="19">
        <v>0.3</v>
      </c>
      <c r="F2" s="19">
        <v>0.3</v>
      </c>
      <c r="G2" s="19">
        <v>0.25</v>
      </c>
      <c r="H2" s="226">
        <v>0.5</v>
      </c>
      <c r="I2" s="222">
        <v>2.5</v>
      </c>
      <c r="J2" s="223">
        <f>I2/1.95583</f>
        <v>1.2782297029905463</v>
      </c>
      <c r="L2" s="228" t="s">
        <v>255</v>
      </c>
      <c r="M2" s="243">
        <f>B2/100*$I2</f>
        <v>1.7499999999999998E-2</v>
      </c>
      <c r="N2" s="243">
        <f t="shared" ref="M2:S3" si="0">C2/100*$I2</f>
        <v>6.2500000000000003E-3</v>
      </c>
      <c r="O2" s="243">
        <f t="shared" si="0"/>
        <v>1.4999999999999999E-2</v>
      </c>
      <c r="P2" s="243">
        <f t="shared" si="0"/>
        <v>7.4999999999999997E-3</v>
      </c>
      <c r="Q2" s="243">
        <f t="shared" si="0"/>
        <v>7.4999999999999997E-3</v>
      </c>
      <c r="R2" s="243">
        <f t="shared" si="0"/>
        <v>6.2500000000000003E-3</v>
      </c>
      <c r="S2" s="244">
        <f t="shared" si="0"/>
        <v>1.2500000000000001E-2</v>
      </c>
      <c r="T2" s="222">
        <f t="shared" ref="T2:T39" si="1">SUM(M2:S2)</f>
        <v>7.2499999999999995E-2</v>
      </c>
      <c r="U2" s="223">
        <f>T2/1.95583</f>
        <v>3.7068661386725842E-2</v>
      </c>
      <c r="W2" s="243">
        <f>M2*SUM(Prihodi!$D$5:$D$7)</f>
        <v>0.47249999999999998</v>
      </c>
      <c r="X2" s="243">
        <f>N2*SUM(Prihodi!$D$2:$D$4)</f>
        <v>0.31875000000000003</v>
      </c>
      <c r="Y2" s="243">
        <f>O2*SUM(Prihodi!$D$8:$D$10)</f>
        <v>0.65999999999999992</v>
      </c>
      <c r="Z2" s="243">
        <f>P2*SUM(Prihodi!$D$20:$D$22)</f>
        <v>0.3075</v>
      </c>
      <c r="AA2" s="243">
        <f>Q2*SUM(Prihodi!$D$11:$D$13)</f>
        <v>0.33749999999999997</v>
      </c>
      <c r="AB2" s="243">
        <f>R2*SUM(Prihodi!$D$17:$D$19)</f>
        <v>0.13125000000000001</v>
      </c>
      <c r="AC2" s="244">
        <f>S2*SUM(Prihodi!$D$14:$D$16)</f>
        <v>0.28750000000000003</v>
      </c>
      <c r="AD2" s="222">
        <f>SUM(W2:AC2)</f>
        <v>2.5150000000000001</v>
      </c>
      <c r="AE2" s="249">
        <f>AD2/1.95583</f>
        <v>1.2858990812084896</v>
      </c>
      <c r="AG2" s="243">
        <f>B2*SUM(Prihodi!$D$5:$D$7)</f>
        <v>18.899999999999999</v>
      </c>
      <c r="AH2" s="243">
        <f>C2*SUM(Prihodi!$D$2:$D$4)</f>
        <v>12.75</v>
      </c>
      <c r="AI2" s="243">
        <f>D2*SUM(Prihodi!$D$8:$D$10)</f>
        <v>26.4</v>
      </c>
      <c r="AJ2" s="243">
        <f>E2*SUM(Prihodi!$D$20:$D$22)</f>
        <v>12.299999999999999</v>
      </c>
      <c r="AK2" s="243">
        <f>F2*SUM(Prihodi!$D$11:$D$13)</f>
        <v>13.5</v>
      </c>
      <c r="AL2" s="243">
        <f>G2*SUM(Prihodi!$D$17:$D$19)</f>
        <v>5.25</v>
      </c>
      <c r="AM2" s="244">
        <f>H2*SUM(Prihodi!$D$14:$D$16)</f>
        <v>11.5</v>
      </c>
      <c r="AN2" s="232">
        <f>SUM(AG2:AM2)/100</f>
        <v>1.006</v>
      </c>
      <c r="AO2" s="253">
        <f>AN2/1.95583</f>
        <v>0.51435963248339578</v>
      </c>
    </row>
    <row r="3" spans="1:58" x14ac:dyDescent="0.3">
      <c r="A3" s="221" t="s">
        <v>213</v>
      </c>
      <c r="B3" s="19"/>
      <c r="C3" s="19"/>
      <c r="D3" s="19">
        <v>15</v>
      </c>
      <c r="E3" s="19"/>
      <c r="F3" s="19">
        <v>15</v>
      </c>
      <c r="G3" s="19"/>
      <c r="H3" s="226"/>
      <c r="I3" s="222">
        <f>6*4</f>
        <v>24</v>
      </c>
      <c r="J3" s="223">
        <f t="shared" ref="J3:J38" si="2">I3/1.95583</f>
        <v>12.271005148709245</v>
      </c>
      <c r="L3" s="228" t="s">
        <v>255</v>
      </c>
      <c r="M3" s="243">
        <f t="shared" si="0"/>
        <v>0</v>
      </c>
      <c r="N3" s="243">
        <f t="shared" si="0"/>
        <v>0</v>
      </c>
      <c r="O3" s="243">
        <f t="shared" si="0"/>
        <v>3.5999999999999996</v>
      </c>
      <c r="P3" s="243">
        <f t="shared" si="0"/>
        <v>0</v>
      </c>
      <c r="Q3" s="243">
        <f t="shared" si="0"/>
        <v>3.5999999999999996</v>
      </c>
      <c r="R3" s="243">
        <f t="shared" si="0"/>
        <v>0</v>
      </c>
      <c r="S3" s="244">
        <f t="shared" si="0"/>
        <v>0</v>
      </c>
      <c r="T3" s="222">
        <f t="shared" si="1"/>
        <v>7.1999999999999993</v>
      </c>
      <c r="U3" s="223">
        <f t="shared" ref="U3:U40" si="3">T3/1.95583</f>
        <v>3.6813015446127726</v>
      </c>
      <c r="W3" s="243">
        <f>M3*SUM(Prihodi!$D$5:$D$7)</f>
        <v>0</v>
      </c>
      <c r="X3" s="243">
        <f>N3*SUM(Prihodi!$D$2:$D$4)</f>
        <v>0</v>
      </c>
      <c r="Y3" s="243">
        <f>O3*SUM(Prihodi!$D$8:$D$10)</f>
        <v>158.39999999999998</v>
      </c>
      <c r="Z3" s="243">
        <f>P3*SUM(Prihodi!$D$20:$D$22)</f>
        <v>0</v>
      </c>
      <c r="AA3" s="243">
        <f>Q3*SUM(Prihodi!$D$11:$D$13)</f>
        <v>161.99999999999997</v>
      </c>
      <c r="AB3" s="243">
        <f>R3*SUM(Prihodi!$D$17:$D$19)</f>
        <v>0</v>
      </c>
      <c r="AC3" s="244">
        <f>S3*SUM(Prihodi!$D$14:$D$16)</f>
        <v>0</v>
      </c>
      <c r="AD3" s="222">
        <f t="shared" ref="AD3:AD39" si="4">SUM(W3:AC3)</f>
        <v>320.39999999999998</v>
      </c>
      <c r="AE3" s="249">
        <f t="shared" ref="AE3:AE41" si="5">AD3/1.95583</f>
        <v>163.81791873526839</v>
      </c>
      <c r="AG3" s="243">
        <f>B3*SUM(Prihodi!$D$5:$D$7)</f>
        <v>0</v>
      </c>
      <c r="AH3" s="243">
        <f>C3*SUM(Prihodi!$D$2:$D$4)</f>
        <v>0</v>
      </c>
      <c r="AI3" s="243">
        <f>D3*SUM(Prihodi!$D$8:$D$10)</f>
        <v>660</v>
      </c>
      <c r="AJ3" s="243">
        <f>E3*SUM(Prihodi!$D$20:$D$22)</f>
        <v>0</v>
      </c>
      <c r="AK3" s="243">
        <f>F3*SUM(Prihodi!$D$11:$D$13)</f>
        <v>675</v>
      </c>
      <c r="AL3" s="243">
        <f>G3*SUM(Prihodi!$D$17:$D$19)</f>
        <v>0</v>
      </c>
      <c r="AM3" s="244">
        <f>H3*SUM(Prihodi!$D$14:$D$16)</f>
        <v>0</v>
      </c>
      <c r="AN3" s="222">
        <f>SUM(AG3:AM3)/100</f>
        <v>13.35</v>
      </c>
      <c r="AO3" s="249">
        <f t="shared" ref="AO3:AO40" si="6">AN3/1.95583</f>
        <v>6.8257466139695167</v>
      </c>
    </row>
    <row r="4" spans="1:58" x14ac:dyDescent="0.3">
      <c r="A4" s="221" t="s">
        <v>214</v>
      </c>
      <c r="B4" s="19">
        <v>6</v>
      </c>
      <c r="C4" s="19">
        <v>10</v>
      </c>
      <c r="D4" s="19">
        <v>5</v>
      </c>
      <c r="E4" s="19">
        <v>4</v>
      </c>
      <c r="F4" s="19"/>
      <c r="G4" s="19">
        <v>10</v>
      </c>
      <c r="H4" s="226">
        <v>10</v>
      </c>
      <c r="I4" s="222">
        <f>4/10</f>
        <v>0.4</v>
      </c>
      <c r="J4" s="223">
        <f t="shared" si="2"/>
        <v>0.20451675247848741</v>
      </c>
      <c r="L4" s="228" t="s">
        <v>258</v>
      </c>
      <c r="M4" s="243">
        <f t="shared" ref="M4:S6" si="7">$I4*B4</f>
        <v>2.4000000000000004</v>
      </c>
      <c r="N4" s="243">
        <f t="shared" si="7"/>
        <v>4</v>
      </c>
      <c r="O4" s="243">
        <f t="shared" si="7"/>
        <v>2</v>
      </c>
      <c r="P4" s="243">
        <f t="shared" si="7"/>
        <v>1.6</v>
      </c>
      <c r="Q4" s="243">
        <f t="shared" si="7"/>
        <v>0</v>
      </c>
      <c r="R4" s="243">
        <f t="shared" si="7"/>
        <v>4</v>
      </c>
      <c r="S4" s="244">
        <f t="shared" si="7"/>
        <v>4</v>
      </c>
      <c r="T4" s="222">
        <f t="shared" si="1"/>
        <v>18</v>
      </c>
      <c r="U4" s="223">
        <f t="shared" si="3"/>
        <v>9.2032538615319321</v>
      </c>
      <c r="W4" s="243">
        <f>M4*SUM(Prihodi!$D$5:$D$7)</f>
        <v>64.800000000000011</v>
      </c>
      <c r="X4" s="243">
        <f>N4*SUM(Prihodi!$D$2:$D$4)</f>
        <v>204</v>
      </c>
      <c r="Y4" s="243">
        <f>O4*SUM(Prihodi!$D$8:$D$10)</f>
        <v>88</v>
      </c>
      <c r="Z4" s="243">
        <f>P4*SUM(Prihodi!$D$20:$D$22)</f>
        <v>65.600000000000009</v>
      </c>
      <c r="AA4" s="243">
        <f>Q4*SUM(Prihodi!$D$11:$D$13)</f>
        <v>0</v>
      </c>
      <c r="AB4" s="243">
        <f>R4*SUM(Prihodi!$D$17:$D$19)</f>
        <v>84</v>
      </c>
      <c r="AC4" s="244">
        <f>S4*SUM(Prihodi!$D$14:$D$16)</f>
        <v>92</v>
      </c>
      <c r="AD4" s="222">
        <f t="shared" si="4"/>
        <v>598.40000000000009</v>
      </c>
      <c r="AE4" s="249">
        <f t="shared" si="5"/>
        <v>305.95706170781722</v>
      </c>
      <c r="AG4" s="243">
        <f>B4*SUM(Prihodi!$D$5:$D$7)</f>
        <v>162</v>
      </c>
      <c r="AH4" s="243">
        <f>C4*SUM(Prihodi!$D$2:$D$4)</f>
        <v>510</v>
      </c>
      <c r="AI4" s="243">
        <f>D4*SUM(Prihodi!$D$8:$D$10)</f>
        <v>220</v>
      </c>
      <c r="AJ4" s="243">
        <f>E4*SUM(Prihodi!$D$20:$D$22)</f>
        <v>164</v>
      </c>
      <c r="AK4" s="243">
        <f>F4*SUM(Prihodi!$D$11:$D$13)</f>
        <v>0</v>
      </c>
      <c r="AL4" s="243">
        <f>G4*SUM(Prihodi!$D$17:$D$19)</f>
        <v>210</v>
      </c>
      <c r="AM4" s="244">
        <f>H4*SUM(Prihodi!$D$14:$D$16)</f>
        <v>230</v>
      </c>
      <c r="AN4" s="222">
        <f>SUM(AG4:AM4)</f>
        <v>1496</v>
      </c>
      <c r="AO4" s="249">
        <f>AN4/1.95583</f>
        <v>764.89265426954285</v>
      </c>
    </row>
    <row r="5" spans="1:58" x14ac:dyDescent="0.3">
      <c r="A5" s="221" t="s">
        <v>215</v>
      </c>
      <c r="B5" s="19">
        <v>2</v>
      </c>
      <c r="C5" s="19">
        <v>2</v>
      </c>
      <c r="D5" s="19">
        <v>1</v>
      </c>
      <c r="E5" s="19">
        <v>1</v>
      </c>
      <c r="F5" s="19"/>
      <c r="G5" s="19">
        <v>2</v>
      </c>
      <c r="H5" s="226">
        <v>2</v>
      </c>
      <c r="I5" s="222">
        <f>2/10</f>
        <v>0.2</v>
      </c>
      <c r="J5" s="223">
        <f t="shared" si="2"/>
        <v>0.10225837623924371</v>
      </c>
      <c r="L5" s="228" t="s">
        <v>258</v>
      </c>
      <c r="M5" s="243">
        <f t="shared" si="7"/>
        <v>0.4</v>
      </c>
      <c r="N5" s="243">
        <f t="shared" si="7"/>
        <v>0.4</v>
      </c>
      <c r="O5" s="243">
        <f t="shared" si="7"/>
        <v>0.2</v>
      </c>
      <c r="P5" s="243">
        <f t="shared" si="7"/>
        <v>0.2</v>
      </c>
      <c r="Q5" s="243">
        <f t="shared" si="7"/>
        <v>0</v>
      </c>
      <c r="R5" s="243">
        <f t="shared" si="7"/>
        <v>0.4</v>
      </c>
      <c r="S5" s="244">
        <f t="shared" si="7"/>
        <v>0.4</v>
      </c>
      <c r="T5" s="222">
        <f t="shared" si="1"/>
        <v>2</v>
      </c>
      <c r="U5" s="223">
        <f t="shared" si="3"/>
        <v>1.022583762392437</v>
      </c>
      <c r="W5" s="243">
        <f>M5*SUM(Prihodi!$D$5:$D$7)</f>
        <v>10.8</v>
      </c>
      <c r="X5" s="243">
        <f>N5*SUM(Prihodi!$D$2:$D$4)</f>
        <v>20.400000000000002</v>
      </c>
      <c r="Y5" s="243">
        <f>O5*SUM(Prihodi!$D$8:$D$10)</f>
        <v>8.8000000000000007</v>
      </c>
      <c r="Z5" s="243">
        <f>P5*SUM(Prihodi!$D$20:$D$22)</f>
        <v>8.2000000000000011</v>
      </c>
      <c r="AA5" s="243">
        <f>Q5*SUM(Prihodi!$D$11:$D$13)</f>
        <v>0</v>
      </c>
      <c r="AB5" s="243">
        <f>R5*SUM(Prihodi!$D$17:$D$19)</f>
        <v>8.4</v>
      </c>
      <c r="AC5" s="244">
        <f>S5*SUM(Prihodi!$D$14:$D$16)</f>
        <v>9.2000000000000011</v>
      </c>
      <c r="AD5" s="222">
        <f t="shared" si="4"/>
        <v>65.8</v>
      </c>
      <c r="AE5" s="249">
        <f t="shared" si="5"/>
        <v>33.643005782711178</v>
      </c>
      <c r="AG5" s="243">
        <f>B5*SUM(Prihodi!$D$5:$D$7)</f>
        <v>54</v>
      </c>
      <c r="AH5" s="243">
        <f>C5*SUM(Prihodi!$D$2:$D$4)</f>
        <v>102</v>
      </c>
      <c r="AI5" s="243">
        <f>D5*SUM(Prihodi!$D$8:$D$10)</f>
        <v>44</v>
      </c>
      <c r="AJ5" s="243">
        <f>E5*SUM(Prihodi!$D$20:$D$22)</f>
        <v>41</v>
      </c>
      <c r="AK5" s="243">
        <f>F5*SUM(Prihodi!$D$11:$D$13)</f>
        <v>0</v>
      </c>
      <c r="AL5" s="243">
        <f>G5*SUM(Prihodi!$D$17:$D$19)</f>
        <v>42</v>
      </c>
      <c r="AM5" s="244">
        <f>H5*SUM(Prihodi!$D$14:$D$16)</f>
        <v>46</v>
      </c>
      <c r="AN5" s="222">
        <f>SUM(AG5:AM5)</f>
        <v>329</v>
      </c>
      <c r="AO5" s="249">
        <f t="shared" si="6"/>
        <v>168.2150289135559</v>
      </c>
    </row>
    <row r="6" spans="1:58" x14ac:dyDescent="0.3">
      <c r="A6" s="221" t="s">
        <v>875</v>
      </c>
      <c r="B6" s="19"/>
      <c r="C6" s="19"/>
      <c r="D6" s="19"/>
      <c r="E6" s="19"/>
      <c r="F6" s="19"/>
      <c r="G6" s="19"/>
      <c r="H6" s="226"/>
      <c r="I6" s="222">
        <v>12</v>
      </c>
      <c r="J6" s="223">
        <f t="shared" si="2"/>
        <v>6.1355025743546223</v>
      </c>
      <c r="L6" s="228" t="s">
        <v>255</v>
      </c>
      <c r="M6" s="243">
        <f t="shared" si="7"/>
        <v>0</v>
      </c>
      <c r="N6" s="243">
        <f t="shared" si="7"/>
        <v>0</v>
      </c>
      <c r="O6" s="243">
        <f t="shared" si="7"/>
        <v>0</v>
      </c>
      <c r="P6" s="243">
        <f t="shared" si="7"/>
        <v>0</v>
      </c>
      <c r="Q6" s="243">
        <f t="shared" si="7"/>
        <v>0</v>
      </c>
      <c r="R6" s="243">
        <f t="shared" si="7"/>
        <v>0</v>
      </c>
      <c r="S6" s="244">
        <f t="shared" si="7"/>
        <v>0</v>
      </c>
      <c r="T6" s="222">
        <f t="shared" si="1"/>
        <v>0</v>
      </c>
      <c r="U6" s="223">
        <f t="shared" si="3"/>
        <v>0</v>
      </c>
      <c r="W6" s="243">
        <f>M6*SUM(Prihodi!$D$5:$D$7)</f>
        <v>0</v>
      </c>
      <c r="X6" s="243">
        <f>N6*SUM(Prihodi!$D$2:$D$4)</f>
        <v>0</v>
      </c>
      <c r="Y6" s="243">
        <f>O6*SUM(Prihodi!$D$8:$D$10)</f>
        <v>0</v>
      </c>
      <c r="Z6" s="243">
        <f>P6*SUM(Prihodi!$D$20:$D$22)</f>
        <v>0</v>
      </c>
      <c r="AA6" s="243">
        <f>Q6*SUM(Prihodi!$D$11:$D$13)</f>
        <v>0</v>
      </c>
      <c r="AB6" s="243">
        <f>R6*SUM(Prihodi!$D$17:$D$19)</f>
        <v>0</v>
      </c>
      <c r="AC6" s="244">
        <f>S6*SUM(Prihodi!$D$14:$D$16)</f>
        <v>0</v>
      </c>
      <c r="AD6" s="222">
        <f t="shared" si="4"/>
        <v>0</v>
      </c>
      <c r="AE6" s="249">
        <f t="shared" si="5"/>
        <v>0</v>
      </c>
      <c r="AG6" s="243">
        <f>B6*SUM(Prihodi!$D$5:$D$7)</f>
        <v>0</v>
      </c>
      <c r="AH6" s="243">
        <f>C6*SUM(Prihodi!$D$2:$D$4)</f>
        <v>0</v>
      </c>
      <c r="AI6" s="243">
        <f>D6*SUM(Prihodi!$D$8:$D$10)</f>
        <v>0</v>
      </c>
      <c r="AJ6" s="243">
        <f>E6*SUM(Prihodi!$D$20:$D$22)</f>
        <v>0</v>
      </c>
      <c r="AK6" s="243">
        <f>F6*SUM(Prihodi!$D$11:$D$13)</f>
        <v>0</v>
      </c>
      <c r="AL6" s="243">
        <f>G6*SUM(Prihodi!$D$17:$D$19)</f>
        <v>0</v>
      </c>
      <c r="AM6" s="244">
        <f>H6*SUM(Prihodi!$D$14:$D$16)</f>
        <v>0</v>
      </c>
      <c r="AN6" s="222">
        <f>SUM(AG6:AM6)</f>
        <v>0</v>
      </c>
      <c r="AO6" s="249">
        <f t="shared" si="6"/>
        <v>0</v>
      </c>
    </row>
    <row r="7" spans="1:58" x14ac:dyDescent="0.3">
      <c r="A7" s="221" t="s">
        <v>216</v>
      </c>
      <c r="B7" s="19">
        <v>50</v>
      </c>
      <c r="C7" s="19"/>
      <c r="D7" s="19"/>
      <c r="E7" s="19"/>
      <c r="F7" s="19"/>
      <c r="G7" s="19"/>
      <c r="H7" s="226"/>
      <c r="I7" s="222">
        <v>14</v>
      </c>
      <c r="J7" s="223">
        <f t="shared" si="2"/>
        <v>7.1580863367470586</v>
      </c>
      <c r="L7" s="228" t="s">
        <v>255</v>
      </c>
      <c r="M7" s="243">
        <f t="shared" ref="M7:S7" si="8">B7/100*$I7</f>
        <v>7</v>
      </c>
      <c r="N7" s="243">
        <f t="shared" si="8"/>
        <v>0</v>
      </c>
      <c r="O7" s="243">
        <f t="shared" si="8"/>
        <v>0</v>
      </c>
      <c r="P7" s="243">
        <f t="shared" si="8"/>
        <v>0</v>
      </c>
      <c r="Q7" s="243">
        <f t="shared" si="8"/>
        <v>0</v>
      </c>
      <c r="R7" s="243">
        <f t="shared" si="8"/>
        <v>0</v>
      </c>
      <c r="S7" s="244">
        <f t="shared" si="8"/>
        <v>0</v>
      </c>
      <c r="T7" s="222">
        <f t="shared" si="1"/>
        <v>7</v>
      </c>
      <c r="U7" s="223">
        <f t="shared" si="3"/>
        <v>3.5790431683735293</v>
      </c>
      <c r="W7" s="243">
        <f>M7*SUM(Prihodi!$D$5:$D$7)</f>
        <v>189</v>
      </c>
      <c r="X7" s="243">
        <f>N7*SUM(Prihodi!$D$2:$D$4)</f>
        <v>0</v>
      </c>
      <c r="Y7" s="243">
        <f>O7*SUM(Prihodi!$D$8:$D$10)</f>
        <v>0</v>
      </c>
      <c r="Z7" s="243">
        <f>P7*SUM(Prihodi!$D$20:$D$22)</f>
        <v>0</v>
      </c>
      <c r="AA7" s="243">
        <f>Q7*SUM(Prihodi!$D$11:$D$13)</f>
        <v>0</v>
      </c>
      <c r="AB7" s="243">
        <f>R7*SUM(Prihodi!$D$17:$D$19)</f>
        <v>0</v>
      </c>
      <c r="AC7" s="244">
        <f>S7*SUM(Prihodi!$D$14:$D$16)</f>
        <v>0</v>
      </c>
      <c r="AD7" s="222">
        <f t="shared" si="4"/>
        <v>189</v>
      </c>
      <c r="AE7" s="249">
        <f t="shared" si="5"/>
        <v>96.634165546085299</v>
      </c>
      <c r="AG7" s="243">
        <f>B7*SUM(Prihodi!$D$5:$D$7)</f>
        <v>1350</v>
      </c>
      <c r="AH7" s="243">
        <f>C7*SUM(Prihodi!$D$2:$D$4)</f>
        <v>0</v>
      </c>
      <c r="AI7" s="243">
        <f>D7*SUM(Prihodi!$D$8:$D$10)</f>
        <v>0</v>
      </c>
      <c r="AJ7" s="243">
        <f>E7*SUM(Prihodi!$D$20:$D$22)</f>
        <v>0</v>
      </c>
      <c r="AK7" s="243">
        <f>F7*SUM(Prihodi!$D$11:$D$13)</f>
        <v>0</v>
      </c>
      <c r="AL7" s="243">
        <f>G7*SUM(Prihodi!$D$17:$D$19)</f>
        <v>0</v>
      </c>
      <c r="AM7" s="244">
        <f>H7*SUM(Prihodi!$D$14:$D$16)</f>
        <v>0</v>
      </c>
      <c r="AN7" s="222">
        <f>SUM(AG7:AM7)/100</f>
        <v>13.5</v>
      </c>
      <c r="AO7" s="249">
        <f t="shared" si="6"/>
        <v>6.9024403961489496</v>
      </c>
    </row>
    <row r="8" spans="1:58" x14ac:dyDescent="0.3">
      <c r="A8" s="221" t="s">
        <v>217</v>
      </c>
      <c r="B8" s="19"/>
      <c r="C8" s="19"/>
      <c r="D8" s="19"/>
      <c r="E8" s="19"/>
      <c r="F8" s="19"/>
      <c r="G8" s="19"/>
      <c r="H8" s="226"/>
      <c r="I8" s="222">
        <v>5</v>
      </c>
      <c r="J8" s="223">
        <f t="shared" si="2"/>
        <v>2.5564594059810926</v>
      </c>
      <c r="L8" s="228" t="s">
        <v>255</v>
      </c>
      <c r="M8" s="243">
        <f t="shared" ref="M8:S39" si="9">$I8*B8</f>
        <v>0</v>
      </c>
      <c r="N8" s="243">
        <f t="shared" si="9"/>
        <v>0</v>
      </c>
      <c r="O8" s="243">
        <f t="shared" si="9"/>
        <v>0</v>
      </c>
      <c r="P8" s="243">
        <f t="shared" si="9"/>
        <v>0</v>
      </c>
      <c r="Q8" s="243">
        <f t="shared" si="9"/>
        <v>0</v>
      </c>
      <c r="R8" s="243">
        <f t="shared" si="9"/>
        <v>0</v>
      </c>
      <c r="S8" s="244">
        <f t="shared" si="9"/>
        <v>0</v>
      </c>
      <c r="T8" s="222">
        <f t="shared" si="1"/>
        <v>0</v>
      </c>
      <c r="U8" s="223">
        <f t="shared" si="3"/>
        <v>0</v>
      </c>
      <c r="W8" s="243">
        <f>M8*SUM(Prihodi!$D$5:$D$7)</f>
        <v>0</v>
      </c>
      <c r="X8" s="243">
        <f>N8*SUM(Prihodi!$D$2:$D$4)</f>
        <v>0</v>
      </c>
      <c r="Y8" s="243">
        <f>O8*SUM(Prihodi!$D$8:$D$10)</f>
        <v>0</v>
      </c>
      <c r="Z8" s="243">
        <f>P8*SUM(Prihodi!$D$20:$D$22)</f>
        <v>0</v>
      </c>
      <c r="AA8" s="243">
        <f>Q8*SUM(Prihodi!$D$11:$D$13)</f>
        <v>0</v>
      </c>
      <c r="AB8" s="243">
        <f>R8*SUM(Prihodi!$D$17:$D$19)</f>
        <v>0</v>
      </c>
      <c r="AC8" s="244">
        <f>S8*SUM(Prihodi!$D$14:$D$16)</f>
        <v>0</v>
      </c>
      <c r="AD8" s="222">
        <f t="shared" si="4"/>
        <v>0</v>
      </c>
      <c r="AE8" s="249">
        <f t="shared" si="5"/>
        <v>0</v>
      </c>
      <c r="AG8" s="243">
        <f>B8*SUM(Prihodi!$D$5:$D$7)</f>
        <v>0</v>
      </c>
      <c r="AH8" s="243">
        <f>C8*SUM(Prihodi!$D$2:$D$4)</f>
        <v>0</v>
      </c>
      <c r="AI8" s="243">
        <f>D8*SUM(Prihodi!$D$8:$D$10)</f>
        <v>0</v>
      </c>
      <c r="AJ8" s="243">
        <f>E8*SUM(Prihodi!$D$20:$D$22)</f>
        <v>0</v>
      </c>
      <c r="AK8" s="243">
        <f>F8*SUM(Prihodi!$D$11:$D$13)</f>
        <v>0</v>
      </c>
      <c r="AL8" s="243">
        <f>G8*SUM(Prihodi!$D$17:$D$19)</f>
        <v>0</v>
      </c>
      <c r="AM8" s="244">
        <f>H8*SUM(Prihodi!$D$14:$D$16)</f>
        <v>0</v>
      </c>
      <c r="AN8" s="222">
        <f t="shared" ref="AN8:AN39" si="10">SUM(AG8:AM8)</f>
        <v>0</v>
      </c>
      <c r="AO8" s="249">
        <f t="shared" si="6"/>
        <v>0</v>
      </c>
    </row>
    <row r="9" spans="1:58" x14ac:dyDescent="0.3">
      <c r="A9" s="221" t="s">
        <v>218</v>
      </c>
      <c r="B9" s="19">
        <v>1.2</v>
      </c>
      <c r="C9" s="19"/>
      <c r="D9" s="19">
        <v>1</v>
      </c>
      <c r="E9" s="19">
        <v>0.8</v>
      </c>
      <c r="F9" s="19">
        <v>0.5</v>
      </c>
      <c r="G9" s="19">
        <v>0.8</v>
      </c>
      <c r="H9" s="226">
        <v>1</v>
      </c>
      <c r="I9" s="222">
        <v>2.5</v>
      </c>
      <c r="J9" s="223">
        <f t="shared" si="2"/>
        <v>1.2782297029905463</v>
      </c>
      <c r="L9" s="228" t="s">
        <v>256</v>
      </c>
      <c r="M9" s="243">
        <f t="shared" si="9"/>
        <v>3</v>
      </c>
      <c r="N9" s="243">
        <f t="shared" si="9"/>
        <v>0</v>
      </c>
      <c r="O9" s="243">
        <f t="shared" si="9"/>
        <v>2.5</v>
      </c>
      <c r="P9" s="243">
        <f t="shared" si="9"/>
        <v>2</v>
      </c>
      <c r="Q9" s="243">
        <f t="shared" si="9"/>
        <v>1.25</v>
      </c>
      <c r="R9" s="243">
        <f t="shared" si="9"/>
        <v>2</v>
      </c>
      <c r="S9" s="244">
        <f t="shared" si="9"/>
        <v>2.5</v>
      </c>
      <c r="T9" s="222">
        <f t="shared" si="1"/>
        <v>13.25</v>
      </c>
      <c r="U9" s="223">
        <f t="shared" si="3"/>
        <v>6.774617425849895</v>
      </c>
      <c r="W9" s="243">
        <f>M9*SUM(Prihodi!$D$5:$D$7)</f>
        <v>81</v>
      </c>
      <c r="X9" s="243">
        <f>N9*SUM(Prihodi!$D$2:$D$4)</f>
        <v>0</v>
      </c>
      <c r="Y9" s="243">
        <f>O9*SUM(Prihodi!$D$8:$D$10)</f>
        <v>110</v>
      </c>
      <c r="Z9" s="243">
        <f>P9*SUM(Prihodi!$D$20:$D$22)</f>
        <v>82</v>
      </c>
      <c r="AA9" s="243">
        <f>Q9*SUM(Prihodi!$D$11:$D$13)</f>
        <v>56.25</v>
      </c>
      <c r="AB9" s="243">
        <f>R9*SUM(Prihodi!$D$17:$D$19)</f>
        <v>42</v>
      </c>
      <c r="AC9" s="244">
        <f>S9*SUM(Prihodi!$D$14:$D$16)</f>
        <v>57.5</v>
      </c>
      <c r="AD9" s="222">
        <f t="shared" si="4"/>
        <v>428.75</v>
      </c>
      <c r="AE9" s="249">
        <f t="shared" si="5"/>
        <v>219.21639406287869</v>
      </c>
      <c r="AG9" s="243">
        <f>B9*SUM(Prihodi!$D$5:$D$7)</f>
        <v>32.4</v>
      </c>
      <c r="AH9" s="243">
        <f>C9*SUM(Prihodi!$D$2:$D$4)</f>
        <v>0</v>
      </c>
      <c r="AI9" s="243">
        <f>D9*SUM(Prihodi!$D$8:$D$10)</f>
        <v>44</v>
      </c>
      <c r="AJ9" s="243">
        <f>E9*SUM(Prihodi!$D$20:$D$22)</f>
        <v>32.800000000000004</v>
      </c>
      <c r="AK9" s="243">
        <f>F9*SUM(Prihodi!$D$11:$D$13)</f>
        <v>22.5</v>
      </c>
      <c r="AL9" s="243">
        <f>G9*SUM(Prihodi!$D$17:$D$19)</f>
        <v>16.8</v>
      </c>
      <c r="AM9" s="244">
        <f>H9*SUM(Prihodi!$D$14:$D$16)</f>
        <v>23</v>
      </c>
      <c r="AN9" s="222">
        <f t="shared" si="10"/>
        <v>171.50000000000003</v>
      </c>
      <c r="AO9" s="249">
        <f t="shared" si="6"/>
        <v>87.686557625151494</v>
      </c>
    </row>
    <row r="10" spans="1:58" x14ac:dyDescent="0.3">
      <c r="A10" s="221" t="s">
        <v>219</v>
      </c>
      <c r="B10" s="19">
        <v>0.2</v>
      </c>
      <c r="C10" s="19">
        <v>0.4</v>
      </c>
      <c r="D10" s="19"/>
      <c r="E10" s="19">
        <v>0.25</v>
      </c>
      <c r="F10" s="19"/>
      <c r="G10" s="19">
        <v>0.25</v>
      </c>
      <c r="H10" s="226">
        <v>0.15</v>
      </c>
      <c r="I10" s="222">
        <f>3.8/3*10</f>
        <v>12.666666666666666</v>
      </c>
      <c r="J10" s="223">
        <f t="shared" si="2"/>
        <v>6.4763638284854341</v>
      </c>
      <c r="L10" s="228" t="s">
        <v>255</v>
      </c>
      <c r="M10" s="243">
        <f t="shared" si="9"/>
        <v>2.5333333333333332</v>
      </c>
      <c r="N10" s="243">
        <f t="shared" si="9"/>
        <v>5.0666666666666664</v>
      </c>
      <c r="O10" s="243">
        <f t="shared" si="9"/>
        <v>0</v>
      </c>
      <c r="P10" s="243">
        <f t="shared" si="9"/>
        <v>3.1666666666666665</v>
      </c>
      <c r="Q10" s="243">
        <f t="shared" si="9"/>
        <v>0</v>
      </c>
      <c r="R10" s="243">
        <f t="shared" si="9"/>
        <v>3.1666666666666665</v>
      </c>
      <c r="S10" s="244">
        <f t="shared" si="9"/>
        <v>1.9</v>
      </c>
      <c r="T10" s="222">
        <f t="shared" si="1"/>
        <v>15.833333333333332</v>
      </c>
      <c r="U10" s="223">
        <f t="shared" si="3"/>
        <v>8.0954547856067922</v>
      </c>
      <c r="W10" s="243">
        <f>M10*SUM(Prihodi!$D$5:$D$7)</f>
        <v>68.399999999999991</v>
      </c>
      <c r="X10" s="243">
        <f>N10*SUM(Prihodi!$D$2:$D$4)</f>
        <v>258.39999999999998</v>
      </c>
      <c r="Y10" s="243">
        <f>O10*SUM(Prihodi!$D$8:$D$10)</f>
        <v>0</v>
      </c>
      <c r="Z10" s="243">
        <f>P10*SUM(Prihodi!$D$20:$D$22)</f>
        <v>129.83333333333331</v>
      </c>
      <c r="AA10" s="243">
        <f>Q10*SUM(Prihodi!$D$11:$D$13)</f>
        <v>0</v>
      </c>
      <c r="AB10" s="243">
        <f>R10*SUM(Prihodi!$D$17:$D$19)</f>
        <v>66.5</v>
      </c>
      <c r="AC10" s="244">
        <f>S10*SUM(Prihodi!$D$14:$D$16)</f>
        <v>43.699999999999996</v>
      </c>
      <c r="AD10" s="222">
        <f t="shared" si="4"/>
        <v>566.83333333333326</v>
      </c>
      <c r="AE10" s="249">
        <f t="shared" si="5"/>
        <v>289.81728132472313</v>
      </c>
      <c r="AG10" s="243">
        <f>B10*SUM(Prihodi!$D$5:$D$7)</f>
        <v>5.4</v>
      </c>
      <c r="AH10" s="243">
        <f>C10*SUM(Prihodi!$D$2:$D$4)</f>
        <v>20.400000000000002</v>
      </c>
      <c r="AI10" s="243">
        <f>D10*SUM(Prihodi!$D$8:$D$10)</f>
        <v>0</v>
      </c>
      <c r="AJ10" s="243">
        <f>E10*SUM(Prihodi!$D$20:$D$22)</f>
        <v>10.25</v>
      </c>
      <c r="AK10" s="243">
        <f>F10*SUM(Prihodi!$D$11:$D$13)</f>
        <v>0</v>
      </c>
      <c r="AL10" s="243">
        <f>G10*SUM(Prihodi!$D$17:$D$19)</f>
        <v>5.25</v>
      </c>
      <c r="AM10" s="244">
        <f>H10*SUM(Prihodi!$D$14:$D$16)</f>
        <v>3.4499999999999997</v>
      </c>
      <c r="AN10" s="222">
        <f t="shared" si="10"/>
        <v>44.750000000000007</v>
      </c>
      <c r="AO10" s="249">
        <f t="shared" si="6"/>
        <v>22.880311683530781</v>
      </c>
    </row>
    <row r="11" spans="1:58" x14ac:dyDescent="0.3">
      <c r="A11" s="221" t="s">
        <v>852</v>
      </c>
      <c r="B11" s="19">
        <v>4</v>
      </c>
      <c r="C11" s="19"/>
      <c r="D11" s="19">
        <v>4</v>
      </c>
      <c r="E11" s="19">
        <v>3</v>
      </c>
      <c r="F11" s="19"/>
      <c r="G11" s="19">
        <v>3</v>
      </c>
      <c r="H11" s="226">
        <v>3</v>
      </c>
      <c r="I11" s="222">
        <f>2.5/4</f>
        <v>0.625</v>
      </c>
      <c r="J11" s="223">
        <f t="shared" si="2"/>
        <v>0.31955742574763657</v>
      </c>
      <c r="L11" s="228" t="s">
        <v>258</v>
      </c>
      <c r="M11" s="243">
        <f t="shared" si="9"/>
        <v>2.5</v>
      </c>
      <c r="N11" s="243">
        <f t="shared" si="9"/>
        <v>0</v>
      </c>
      <c r="O11" s="243">
        <f t="shared" si="9"/>
        <v>2.5</v>
      </c>
      <c r="P11" s="243">
        <f t="shared" si="9"/>
        <v>1.875</v>
      </c>
      <c r="Q11" s="243">
        <f t="shared" si="9"/>
        <v>0</v>
      </c>
      <c r="R11" s="243">
        <f t="shared" si="9"/>
        <v>1.875</v>
      </c>
      <c r="S11" s="244">
        <f t="shared" si="9"/>
        <v>1.875</v>
      </c>
      <c r="T11" s="222">
        <f t="shared" si="1"/>
        <v>10.625</v>
      </c>
      <c r="U11" s="223">
        <f t="shared" si="3"/>
        <v>5.4324762377098219</v>
      </c>
      <c r="W11" s="243">
        <f>M11*SUM(Prihodi!$D$5:$D$7)</f>
        <v>67.5</v>
      </c>
      <c r="X11" s="243">
        <f>N11*SUM(Prihodi!$D$2:$D$4)</f>
        <v>0</v>
      </c>
      <c r="Y11" s="243">
        <f>O11*SUM(Prihodi!$D$8:$D$10)</f>
        <v>110</v>
      </c>
      <c r="Z11" s="243">
        <f>P11*SUM(Prihodi!$D$20:$D$22)</f>
        <v>76.875</v>
      </c>
      <c r="AA11" s="243">
        <f>Q11*SUM(Prihodi!$D$11:$D$13)</f>
        <v>0</v>
      </c>
      <c r="AB11" s="243">
        <f>R11*SUM(Prihodi!$D$17:$D$19)</f>
        <v>39.375</v>
      </c>
      <c r="AC11" s="244">
        <f>S11*SUM(Prihodi!$D$14:$D$16)</f>
        <v>43.125</v>
      </c>
      <c r="AD11" s="222">
        <f t="shared" si="4"/>
        <v>336.875</v>
      </c>
      <c r="AE11" s="249">
        <f t="shared" si="5"/>
        <v>172.24145247797611</v>
      </c>
      <c r="AG11" s="243">
        <f>B11*SUM(Prihodi!$D$5:$D$7)</f>
        <v>108</v>
      </c>
      <c r="AH11" s="243">
        <f>C11*SUM(Prihodi!$D$2:$D$4)</f>
        <v>0</v>
      </c>
      <c r="AI11" s="243">
        <f>D11*SUM(Prihodi!$D$8:$D$10)</f>
        <v>176</v>
      </c>
      <c r="AJ11" s="243">
        <f>E11*SUM(Prihodi!$D$20:$D$22)</f>
        <v>123</v>
      </c>
      <c r="AK11" s="243">
        <f>F11*SUM(Prihodi!$D$11:$D$13)</f>
        <v>0</v>
      </c>
      <c r="AL11" s="243">
        <f>G11*SUM(Prihodi!$D$17:$D$19)</f>
        <v>63</v>
      </c>
      <c r="AM11" s="244">
        <f>H11*SUM(Prihodi!$D$14:$D$16)</f>
        <v>69</v>
      </c>
      <c r="AN11" s="222">
        <f t="shared" si="10"/>
        <v>539</v>
      </c>
      <c r="AO11" s="249">
        <f t="shared" si="6"/>
        <v>275.58632396476179</v>
      </c>
    </row>
    <row r="12" spans="1:58" x14ac:dyDescent="0.3">
      <c r="A12" s="221" t="s">
        <v>220</v>
      </c>
      <c r="B12" s="19">
        <v>0.5</v>
      </c>
      <c r="C12" s="19"/>
      <c r="D12" s="19"/>
      <c r="E12" s="19">
        <v>1.2</v>
      </c>
      <c r="F12" s="19"/>
      <c r="G12" s="19"/>
      <c r="H12" s="226"/>
      <c r="I12" s="222">
        <v>2.5</v>
      </c>
      <c r="J12" s="223">
        <f t="shared" si="2"/>
        <v>1.2782297029905463</v>
      </c>
      <c r="L12" s="228" t="s">
        <v>255</v>
      </c>
      <c r="M12" s="243">
        <f t="shared" si="9"/>
        <v>1.25</v>
      </c>
      <c r="N12" s="243">
        <f t="shared" si="9"/>
        <v>0</v>
      </c>
      <c r="O12" s="243">
        <f t="shared" si="9"/>
        <v>0</v>
      </c>
      <c r="P12" s="243">
        <f t="shared" si="9"/>
        <v>3</v>
      </c>
      <c r="Q12" s="243">
        <f t="shared" si="9"/>
        <v>0</v>
      </c>
      <c r="R12" s="243">
        <f t="shared" si="9"/>
        <v>0</v>
      </c>
      <c r="S12" s="244">
        <f t="shared" si="9"/>
        <v>0</v>
      </c>
      <c r="T12" s="222">
        <f t="shared" si="1"/>
        <v>4.25</v>
      </c>
      <c r="U12" s="223">
        <f t="shared" si="3"/>
        <v>2.1729904950839285</v>
      </c>
      <c r="W12" s="243">
        <f>M12*SUM(Prihodi!$D$5:$D$7)</f>
        <v>33.75</v>
      </c>
      <c r="X12" s="243">
        <f>N12*SUM(Prihodi!$D$2:$D$4)</f>
        <v>0</v>
      </c>
      <c r="Y12" s="243">
        <f>O12*SUM(Prihodi!$D$8:$D$10)</f>
        <v>0</v>
      </c>
      <c r="Z12" s="243">
        <f>P12*SUM(Prihodi!$D$20:$D$22)</f>
        <v>123</v>
      </c>
      <c r="AA12" s="243">
        <f>Q12*SUM(Prihodi!$D$11:$D$13)</f>
        <v>0</v>
      </c>
      <c r="AB12" s="243">
        <f>R12*SUM(Prihodi!$D$17:$D$19)</f>
        <v>0</v>
      </c>
      <c r="AC12" s="244">
        <f>S12*SUM(Prihodi!$D$14:$D$16)</f>
        <v>0</v>
      </c>
      <c r="AD12" s="222">
        <f t="shared" si="4"/>
        <v>156.75</v>
      </c>
      <c r="AE12" s="249">
        <f t="shared" si="5"/>
        <v>80.145002377507254</v>
      </c>
      <c r="AG12" s="243">
        <f>B12*SUM(Prihodi!$D$5:$D$7)</f>
        <v>13.5</v>
      </c>
      <c r="AH12" s="243">
        <f>C12*SUM(Prihodi!$D$2:$D$4)</f>
        <v>0</v>
      </c>
      <c r="AI12" s="243">
        <f>D12*SUM(Prihodi!$D$8:$D$10)</f>
        <v>0</v>
      </c>
      <c r="AJ12" s="243">
        <f>E12*SUM(Prihodi!$D$20:$D$22)</f>
        <v>49.199999999999996</v>
      </c>
      <c r="AK12" s="243">
        <f>F12*SUM(Prihodi!$D$11:$D$13)</f>
        <v>0</v>
      </c>
      <c r="AL12" s="243">
        <f>G12*SUM(Prihodi!$D$17:$D$19)</f>
        <v>0</v>
      </c>
      <c r="AM12" s="244">
        <f>H12*SUM(Prihodi!$D$14:$D$16)</f>
        <v>0</v>
      </c>
      <c r="AN12" s="222">
        <f t="shared" si="10"/>
        <v>62.699999999999996</v>
      </c>
      <c r="AO12" s="249">
        <f t="shared" si="6"/>
        <v>32.058000951002896</v>
      </c>
    </row>
    <row r="13" spans="1:58" x14ac:dyDescent="0.3">
      <c r="A13" s="221" t="s">
        <v>221</v>
      </c>
      <c r="B13" s="19">
        <v>0.25</v>
      </c>
      <c r="C13" s="19"/>
      <c r="D13" s="19">
        <v>0.25</v>
      </c>
      <c r="E13" s="19">
        <v>0.75</v>
      </c>
      <c r="F13" s="19">
        <v>0.5</v>
      </c>
      <c r="G13" s="19">
        <v>0.25</v>
      </c>
      <c r="H13" s="226">
        <v>0.25</v>
      </c>
      <c r="I13" s="222">
        <v>6.5</v>
      </c>
      <c r="J13" s="223">
        <f t="shared" si="2"/>
        <v>3.3233972277754202</v>
      </c>
      <c r="L13" s="228" t="s">
        <v>256</v>
      </c>
      <c r="M13" s="243">
        <f t="shared" si="9"/>
        <v>1.625</v>
      </c>
      <c r="N13" s="243">
        <f t="shared" si="9"/>
        <v>0</v>
      </c>
      <c r="O13" s="243">
        <f t="shared" si="9"/>
        <v>1.625</v>
      </c>
      <c r="P13" s="243">
        <f t="shared" si="9"/>
        <v>4.875</v>
      </c>
      <c r="Q13" s="243">
        <f t="shared" si="9"/>
        <v>3.25</v>
      </c>
      <c r="R13" s="243">
        <f t="shared" si="9"/>
        <v>1.625</v>
      </c>
      <c r="S13" s="244">
        <f t="shared" si="9"/>
        <v>1.625</v>
      </c>
      <c r="T13" s="222">
        <f t="shared" si="1"/>
        <v>14.625</v>
      </c>
      <c r="U13" s="223">
        <f t="shared" si="3"/>
        <v>7.4776437624946954</v>
      </c>
      <c r="W13" s="243">
        <f>M13*SUM(Prihodi!$D$5:$D$7)</f>
        <v>43.875</v>
      </c>
      <c r="X13" s="243">
        <f>N13*SUM(Prihodi!$D$2:$D$4)</f>
        <v>0</v>
      </c>
      <c r="Y13" s="243">
        <f>O13*SUM(Prihodi!$D$8:$D$10)</f>
        <v>71.5</v>
      </c>
      <c r="Z13" s="243">
        <f>P13*SUM(Prihodi!$D$20:$D$22)</f>
        <v>199.875</v>
      </c>
      <c r="AA13" s="243">
        <f>Q13*SUM(Prihodi!$D$11:$D$13)</f>
        <v>146.25</v>
      </c>
      <c r="AB13" s="243">
        <f>R13*SUM(Prihodi!$D$17:$D$19)</f>
        <v>34.125</v>
      </c>
      <c r="AC13" s="244">
        <f>S13*SUM(Prihodi!$D$14:$D$16)</f>
        <v>37.375</v>
      </c>
      <c r="AD13" s="222">
        <f t="shared" si="4"/>
        <v>533</v>
      </c>
      <c r="AE13" s="249">
        <f t="shared" si="5"/>
        <v>272.51857267758447</v>
      </c>
      <c r="AG13" s="243">
        <f>B13*SUM(Prihodi!$D$5:$D$7)</f>
        <v>6.75</v>
      </c>
      <c r="AH13" s="243">
        <f>C13*SUM(Prihodi!$D$2:$D$4)</f>
        <v>0</v>
      </c>
      <c r="AI13" s="243">
        <f>D13*SUM(Prihodi!$D$8:$D$10)</f>
        <v>11</v>
      </c>
      <c r="AJ13" s="243">
        <f>E13*SUM(Prihodi!$D$20:$D$22)</f>
        <v>30.75</v>
      </c>
      <c r="AK13" s="243">
        <f>F13*SUM(Prihodi!$D$11:$D$13)</f>
        <v>22.5</v>
      </c>
      <c r="AL13" s="243">
        <f>G13*SUM(Prihodi!$D$17:$D$19)</f>
        <v>5.25</v>
      </c>
      <c r="AM13" s="244">
        <f>H13*SUM(Prihodi!$D$14:$D$16)</f>
        <v>5.75</v>
      </c>
      <c r="AN13" s="222">
        <f t="shared" si="10"/>
        <v>82</v>
      </c>
      <c r="AO13" s="249">
        <f t="shared" si="6"/>
        <v>41.925934258089917</v>
      </c>
    </row>
    <row r="14" spans="1:58" x14ac:dyDescent="0.3">
      <c r="A14" s="221" t="s">
        <v>222</v>
      </c>
      <c r="B14" s="19">
        <v>3</v>
      </c>
      <c r="C14" s="19"/>
      <c r="D14" s="19"/>
      <c r="E14" s="19"/>
      <c r="F14" s="19"/>
      <c r="G14" s="19"/>
      <c r="H14" s="226"/>
      <c r="I14" s="222">
        <v>1.5</v>
      </c>
      <c r="J14" s="223">
        <f t="shared" si="2"/>
        <v>0.76693782179432779</v>
      </c>
      <c r="L14" s="228" t="s">
        <v>259</v>
      </c>
      <c r="M14" s="243">
        <f t="shared" si="9"/>
        <v>4.5</v>
      </c>
      <c r="N14" s="243">
        <f t="shared" si="9"/>
        <v>0</v>
      </c>
      <c r="O14" s="243">
        <f t="shared" si="9"/>
        <v>0</v>
      </c>
      <c r="P14" s="243">
        <f t="shared" si="9"/>
        <v>0</v>
      </c>
      <c r="Q14" s="243">
        <f t="shared" si="9"/>
        <v>0</v>
      </c>
      <c r="R14" s="243">
        <f t="shared" si="9"/>
        <v>0</v>
      </c>
      <c r="S14" s="244">
        <f t="shared" si="9"/>
        <v>0</v>
      </c>
      <c r="T14" s="222">
        <f t="shared" si="1"/>
        <v>4.5</v>
      </c>
      <c r="U14" s="223">
        <f t="shared" si="3"/>
        <v>2.300813465382983</v>
      </c>
      <c r="W14" s="243">
        <f>M14*SUM(Prihodi!$D$5:$D$7)</f>
        <v>121.5</v>
      </c>
      <c r="X14" s="243">
        <f>N14*SUM(Prihodi!$D$2:$D$4)</f>
        <v>0</v>
      </c>
      <c r="Y14" s="243">
        <f>O14*SUM(Prihodi!$D$8:$D$10)</f>
        <v>0</v>
      </c>
      <c r="Z14" s="243">
        <f>P14*SUM(Prihodi!$D$20:$D$22)</f>
        <v>0</v>
      </c>
      <c r="AA14" s="243">
        <f>Q14*SUM(Prihodi!$D$11:$D$13)</f>
        <v>0</v>
      </c>
      <c r="AB14" s="243">
        <f>R14*SUM(Prihodi!$D$17:$D$19)</f>
        <v>0</v>
      </c>
      <c r="AC14" s="244">
        <f>S14*SUM(Prihodi!$D$14:$D$16)</f>
        <v>0</v>
      </c>
      <c r="AD14" s="222">
        <f t="shared" si="4"/>
        <v>121.5</v>
      </c>
      <c r="AE14" s="249">
        <f t="shared" si="5"/>
        <v>62.12196356534055</v>
      </c>
      <c r="AG14" s="243">
        <f>B14*SUM(Prihodi!$D$5:$D$7)</f>
        <v>81</v>
      </c>
      <c r="AH14" s="243">
        <f>C14*SUM(Prihodi!$D$2:$D$4)</f>
        <v>0</v>
      </c>
      <c r="AI14" s="243">
        <f>D14*SUM(Prihodi!$D$8:$D$10)</f>
        <v>0</v>
      </c>
      <c r="AJ14" s="243">
        <f>E14*SUM(Prihodi!$D$20:$D$22)</f>
        <v>0</v>
      </c>
      <c r="AK14" s="243">
        <f>F14*SUM(Prihodi!$D$11:$D$13)</f>
        <v>0</v>
      </c>
      <c r="AL14" s="243">
        <f>G14*SUM(Prihodi!$D$17:$D$19)</f>
        <v>0</v>
      </c>
      <c r="AM14" s="244">
        <f>H14*SUM(Prihodi!$D$14:$D$16)</f>
        <v>0</v>
      </c>
      <c r="AN14" s="222">
        <f t="shared" si="10"/>
        <v>81</v>
      </c>
      <c r="AO14" s="249">
        <f t="shared" si="6"/>
        <v>41.414642376893696</v>
      </c>
    </row>
    <row r="15" spans="1:58" x14ac:dyDescent="0.3">
      <c r="A15" s="221" t="s">
        <v>223</v>
      </c>
      <c r="B15" s="19"/>
      <c r="C15" s="19"/>
      <c r="D15" s="19"/>
      <c r="E15" s="19"/>
      <c r="F15" s="19"/>
      <c r="G15" s="19">
        <v>0.2</v>
      </c>
      <c r="H15" s="226"/>
      <c r="I15" s="222">
        <v>18</v>
      </c>
      <c r="J15" s="223">
        <f t="shared" si="2"/>
        <v>9.2032538615319321</v>
      </c>
      <c r="L15" s="228" t="s">
        <v>255</v>
      </c>
      <c r="M15" s="243">
        <f t="shared" si="9"/>
        <v>0</v>
      </c>
      <c r="N15" s="243">
        <f t="shared" si="9"/>
        <v>0</v>
      </c>
      <c r="O15" s="243">
        <f t="shared" si="9"/>
        <v>0</v>
      </c>
      <c r="P15" s="243">
        <f t="shared" si="9"/>
        <v>0</v>
      </c>
      <c r="Q15" s="243">
        <f t="shared" si="9"/>
        <v>0</v>
      </c>
      <c r="R15" s="243">
        <f t="shared" si="9"/>
        <v>3.6</v>
      </c>
      <c r="S15" s="244">
        <f t="shared" si="9"/>
        <v>0</v>
      </c>
      <c r="T15" s="222">
        <f t="shared" si="1"/>
        <v>3.6</v>
      </c>
      <c r="U15" s="223">
        <f t="shared" si="3"/>
        <v>1.8406507723063867</v>
      </c>
      <c r="W15" s="243">
        <f>M15*SUM(Prihodi!$D$5:$D$7)</f>
        <v>0</v>
      </c>
      <c r="X15" s="243">
        <f>N15*SUM(Prihodi!$D$2:$D$4)</f>
        <v>0</v>
      </c>
      <c r="Y15" s="243">
        <f>O15*SUM(Prihodi!$D$8:$D$10)</f>
        <v>0</v>
      </c>
      <c r="Z15" s="243">
        <f>P15*SUM(Prihodi!$D$20:$D$22)</f>
        <v>0</v>
      </c>
      <c r="AA15" s="243">
        <f>Q15*SUM(Prihodi!$D$11:$D$13)</f>
        <v>0</v>
      </c>
      <c r="AB15" s="243">
        <f>R15*SUM(Prihodi!$D$17:$D$19)</f>
        <v>75.600000000000009</v>
      </c>
      <c r="AC15" s="244">
        <f>S15*SUM(Prihodi!$D$14:$D$16)</f>
        <v>0</v>
      </c>
      <c r="AD15" s="222">
        <f t="shared" si="4"/>
        <v>75.600000000000009</v>
      </c>
      <c r="AE15" s="249">
        <f t="shared" si="5"/>
        <v>38.653666218434125</v>
      </c>
      <c r="AG15" s="243">
        <f>B15*SUM(Prihodi!$D$5:$D$7)</f>
        <v>0</v>
      </c>
      <c r="AH15" s="243">
        <f>C15*SUM(Prihodi!$D$2:$D$4)</f>
        <v>0</v>
      </c>
      <c r="AI15" s="243">
        <f>D15*SUM(Prihodi!$D$8:$D$10)</f>
        <v>0</v>
      </c>
      <c r="AJ15" s="243">
        <f>E15*SUM(Prihodi!$D$20:$D$22)</f>
        <v>0</v>
      </c>
      <c r="AK15" s="243">
        <f>F15*SUM(Prihodi!$D$11:$D$13)</f>
        <v>0</v>
      </c>
      <c r="AL15" s="243">
        <f>G15*SUM(Prihodi!$D$17:$D$19)</f>
        <v>4.2</v>
      </c>
      <c r="AM15" s="244">
        <f>H15*SUM(Prihodi!$D$14:$D$16)</f>
        <v>0</v>
      </c>
      <c r="AN15" s="222">
        <f t="shared" si="10"/>
        <v>4.2</v>
      </c>
      <c r="AO15" s="249">
        <f t="shared" si="6"/>
        <v>2.1474259010241177</v>
      </c>
    </row>
    <row r="16" spans="1:58" x14ac:dyDescent="0.3">
      <c r="A16" s="221" t="s">
        <v>883</v>
      </c>
      <c r="B16" s="19">
        <v>2</v>
      </c>
      <c r="C16" s="19"/>
      <c r="D16" s="19">
        <v>2</v>
      </c>
      <c r="E16" s="19">
        <v>1</v>
      </c>
      <c r="F16" s="19">
        <v>1</v>
      </c>
      <c r="G16" s="19">
        <v>2</v>
      </c>
      <c r="H16" s="226">
        <v>2</v>
      </c>
      <c r="I16" s="222">
        <f>1.5/10</f>
        <v>0.15</v>
      </c>
      <c r="J16" s="223">
        <f t="shared" si="2"/>
        <v>7.6693782179432776E-2</v>
      </c>
      <c r="L16" s="228" t="s">
        <v>258</v>
      </c>
      <c r="M16" s="243">
        <f t="shared" si="9"/>
        <v>0.3</v>
      </c>
      <c r="N16" s="243">
        <f t="shared" si="9"/>
        <v>0</v>
      </c>
      <c r="O16" s="243">
        <f t="shared" si="9"/>
        <v>0.3</v>
      </c>
      <c r="P16" s="243">
        <f t="shared" si="9"/>
        <v>0.15</v>
      </c>
      <c r="Q16" s="243">
        <f t="shared" si="9"/>
        <v>0.15</v>
      </c>
      <c r="R16" s="243">
        <f t="shared" si="9"/>
        <v>0.3</v>
      </c>
      <c r="S16" s="244">
        <f t="shared" si="9"/>
        <v>0.3</v>
      </c>
      <c r="T16" s="222">
        <f t="shared" si="1"/>
        <v>1.5</v>
      </c>
      <c r="U16" s="223">
        <f t="shared" si="3"/>
        <v>0.76693782179432779</v>
      </c>
      <c r="W16" s="243">
        <f>M16*SUM(Prihodi!$D$5:$D$7)</f>
        <v>8.1</v>
      </c>
      <c r="X16" s="243">
        <f>N16*SUM(Prihodi!$D$2:$D$4)</f>
        <v>0</v>
      </c>
      <c r="Y16" s="243">
        <f>O16*SUM(Prihodi!$D$8:$D$10)</f>
        <v>13.2</v>
      </c>
      <c r="Z16" s="243">
        <f>P16*SUM(Prihodi!$D$20:$D$22)</f>
        <v>6.1499999999999995</v>
      </c>
      <c r="AA16" s="243">
        <f>Q16*SUM(Prihodi!$D$11:$D$13)</f>
        <v>6.75</v>
      </c>
      <c r="AB16" s="243">
        <f>R16*SUM(Prihodi!$D$17:$D$19)</f>
        <v>6.3</v>
      </c>
      <c r="AC16" s="244">
        <f>S16*SUM(Prihodi!$D$14:$D$16)</f>
        <v>6.8999999999999995</v>
      </c>
      <c r="AD16" s="222">
        <f t="shared" si="4"/>
        <v>47.399999999999991</v>
      </c>
      <c r="AE16" s="249">
        <f t="shared" si="5"/>
        <v>24.235235168700754</v>
      </c>
      <c r="AG16" s="243">
        <f>B16*SUM(Prihodi!$D$5:$D$7)</f>
        <v>54</v>
      </c>
      <c r="AH16" s="243">
        <f>C16*SUM(Prihodi!$D$2:$D$4)</f>
        <v>0</v>
      </c>
      <c r="AI16" s="243">
        <f>D16*SUM(Prihodi!$D$8:$D$10)</f>
        <v>88</v>
      </c>
      <c r="AJ16" s="243">
        <f>E16*SUM(Prihodi!$D$20:$D$22)</f>
        <v>41</v>
      </c>
      <c r="AK16" s="243">
        <f>F16*SUM(Prihodi!$D$11:$D$13)</f>
        <v>45</v>
      </c>
      <c r="AL16" s="243">
        <f>G16*SUM(Prihodi!$D$17:$D$19)</f>
        <v>42</v>
      </c>
      <c r="AM16" s="244">
        <f>H16*SUM(Prihodi!$D$14:$D$16)</f>
        <v>46</v>
      </c>
      <c r="AN16" s="222">
        <f t="shared" si="10"/>
        <v>316</v>
      </c>
      <c r="AO16" s="249">
        <f t="shared" si="6"/>
        <v>161.56823445800504</v>
      </c>
    </row>
    <row r="17" spans="1:41" x14ac:dyDescent="0.3">
      <c r="A17" s="221" t="s">
        <v>205</v>
      </c>
      <c r="B17" s="19"/>
      <c r="C17" s="19"/>
      <c r="D17" s="19"/>
      <c r="E17" s="19"/>
      <c r="F17" s="19"/>
      <c r="G17" s="19"/>
      <c r="H17" s="226"/>
      <c r="I17" s="222">
        <v>0.2</v>
      </c>
      <c r="J17" s="223">
        <f t="shared" si="2"/>
        <v>0.10225837623924371</v>
      </c>
      <c r="L17" s="228" t="s">
        <v>258</v>
      </c>
      <c r="M17" s="243">
        <f t="shared" si="9"/>
        <v>0</v>
      </c>
      <c r="N17" s="243">
        <f t="shared" si="9"/>
        <v>0</v>
      </c>
      <c r="O17" s="243">
        <f t="shared" si="9"/>
        <v>0</v>
      </c>
      <c r="P17" s="243">
        <f t="shared" si="9"/>
        <v>0</v>
      </c>
      <c r="Q17" s="243">
        <f t="shared" si="9"/>
        <v>0</v>
      </c>
      <c r="R17" s="243">
        <f t="shared" si="9"/>
        <v>0</v>
      </c>
      <c r="S17" s="244">
        <f t="shared" si="9"/>
        <v>0</v>
      </c>
      <c r="T17" s="222">
        <f t="shared" si="1"/>
        <v>0</v>
      </c>
      <c r="U17" s="223">
        <f t="shared" si="3"/>
        <v>0</v>
      </c>
      <c r="W17" s="243">
        <f>M17*SUM(Prihodi!$D$5:$D$7)</f>
        <v>0</v>
      </c>
      <c r="X17" s="243">
        <f>N17*SUM(Prihodi!$D$2:$D$4)</f>
        <v>0</v>
      </c>
      <c r="Y17" s="243">
        <f>O17*SUM(Prihodi!$D$8:$D$10)</f>
        <v>0</v>
      </c>
      <c r="Z17" s="243">
        <f>P17*SUM(Prihodi!$D$20:$D$22)</f>
        <v>0</v>
      </c>
      <c r="AA17" s="243">
        <f>Q17*SUM(Prihodi!$D$11:$D$13)</f>
        <v>0</v>
      </c>
      <c r="AB17" s="243">
        <f>R17*SUM(Prihodi!$D$17:$D$19)</f>
        <v>0</v>
      </c>
      <c r="AC17" s="244">
        <f>S17*SUM(Prihodi!$D$14:$D$16)</f>
        <v>0</v>
      </c>
      <c r="AD17" s="222">
        <f t="shared" si="4"/>
        <v>0</v>
      </c>
      <c r="AE17" s="249">
        <f t="shared" si="5"/>
        <v>0</v>
      </c>
      <c r="AG17" s="243">
        <f>B17*SUM(Prihodi!$D$5:$D$7)</f>
        <v>0</v>
      </c>
      <c r="AH17" s="243">
        <f>C17*SUM(Prihodi!$D$2:$D$4)</f>
        <v>0</v>
      </c>
      <c r="AI17" s="243">
        <f>D17*SUM(Prihodi!$D$8:$D$10)</f>
        <v>0</v>
      </c>
      <c r="AJ17" s="243">
        <f>E17*SUM(Prihodi!$D$20:$D$22)</f>
        <v>0</v>
      </c>
      <c r="AK17" s="243">
        <f>F17*SUM(Prihodi!$D$11:$D$13)</f>
        <v>0</v>
      </c>
      <c r="AL17" s="243">
        <f>G17*SUM(Prihodi!$D$17:$D$19)</f>
        <v>0</v>
      </c>
      <c r="AM17" s="244">
        <f>H17*SUM(Prihodi!$D$14:$D$16)</f>
        <v>0</v>
      </c>
      <c r="AN17" s="222">
        <f t="shared" si="10"/>
        <v>0</v>
      </c>
      <c r="AO17" s="249">
        <f t="shared" si="6"/>
        <v>0</v>
      </c>
    </row>
    <row r="18" spans="1:41" x14ac:dyDescent="0.3">
      <c r="A18" s="221" t="s">
        <v>204</v>
      </c>
      <c r="B18" s="19"/>
      <c r="C18" s="19"/>
      <c r="D18" s="19"/>
      <c r="E18" s="19"/>
      <c r="F18" s="19"/>
      <c r="G18" s="19"/>
      <c r="H18" s="226"/>
      <c r="I18" s="222">
        <v>2.5</v>
      </c>
      <c r="J18" s="223">
        <f t="shared" si="2"/>
        <v>1.2782297029905463</v>
      </c>
      <c r="L18" s="228" t="s">
        <v>258</v>
      </c>
      <c r="M18" s="243">
        <f t="shared" si="9"/>
        <v>0</v>
      </c>
      <c r="N18" s="243">
        <f t="shared" si="9"/>
        <v>0</v>
      </c>
      <c r="O18" s="243">
        <f t="shared" si="9"/>
        <v>0</v>
      </c>
      <c r="P18" s="243">
        <f t="shared" si="9"/>
        <v>0</v>
      </c>
      <c r="Q18" s="243">
        <f t="shared" si="9"/>
        <v>0</v>
      </c>
      <c r="R18" s="243">
        <f t="shared" si="9"/>
        <v>0</v>
      </c>
      <c r="S18" s="244">
        <f t="shared" si="9"/>
        <v>0</v>
      </c>
      <c r="T18" s="222">
        <f t="shared" si="1"/>
        <v>0</v>
      </c>
      <c r="U18" s="223">
        <f t="shared" si="3"/>
        <v>0</v>
      </c>
      <c r="W18" s="243">
        <f>M18*SUM(Prihodi!$D$5:$D$7)</f>
        <v>0</v>
      </c>
      <c r="X18" s="243">
        <f>N18*SUM(Prihodi!$D$2:$D$4)</f>
        <v>0</v>
      </c>
      <c r="Y18" s="243">
        <f>O18*SUM(Prihodi!$D$8:$D$10)</f>
        <v>0</v>
      </c>
      <c r="Z18" s="243">
        <f>P18*SUM(Prihodi!$D$20:$D$22)</f>
        <v>0</v>
      </c>
      <c r="AA18" s="243">
        <f>Q18*SUM(Prihodi!$D$11:$D$13)</f>
        <v>0</v>
      </c>
      <c r="AB18" s="243">
        <f>R18*SUM(Prihodi!$D$17:$D$19)</f>
        <v>0</v>
      </c>
      <c r="AC18" s="244">
        <f>S18*SUM(Prihodi!$D$14:$D$16)</f>
        <v>0</v>
      </c>
      <c r="AD18" s="222">
        <f t="shared" si="4"/>
        <v>0</v>
      </c>
      <c r="AE18" s="249">
        <f t="shared" si="5"/>
        <v>0</v>
      </c>
      <c r="AG18" s="243">
        <f>B18*SUM(Prihodi!$D$5:$D$7)</f>
        <v>0</v>
      </c>
      <c r="AH18" s="243">
        <f>C18*SUM(Prihodi!$D$2:$D$4)</f>
        <v>0</v>
      </c>
      <c r="AI18" s="243">
        <f>D18*SUM(Prihodi!$D$8:$D$10)</f>
        <v>0</v>
      </c>
      <c r="AJ18" s="243">
        <f>E18*SUM(Prihodi!$D$20:$D$22)</f>
        <v>0</v>
      </c>
      <c r="AK18" s="243">
        <f>F18*SUM(Prihodi!$D$11:$D$13)</f>
        <v>0</v>
      </c>
      <c r="AL18" s="243">
        <f>G18*SUM(Prihodi!$D$17:$D$19)</f>
        <v>0</v>
      </c>
      <c r="AM18" s="244">
        <f>H18*SUM(Prihodi!$D$14:$D$16)</f>
        <v>0</v>
      </c>
      <c r="AN18" s="222">
        <f t="shared" si="10"/>
        <v>0</v>
      </c>
      <c r="AO18" s="249">
        <f t="shared" si="6"/>
        <v>0</v>
      </c>
    </row>
    <row r="19" spans="1:41" x14ac:dyDescent="0.3">
      <c r="A19" s="221" t="s">
        <v>224</v>
      </c>
      <c r="B19" s="19"/>
      <c r="C19" s="19"/>
      <c r="D19" s="19"/>
      <c r="E19" s="19"/>
      <c r="F19" s="19"/>
      <c r="G19" s="19"/>
      <c r="H19" s="226"/>
      <c r="I19" s="222">
        <v>2</v>
      </c>
      <c r="J19" s="223">
        <f t="shared" si="2"/>
        <v>1.022583762392437</v>
      </c>
      <c r="L19" s="228" t="s">
        <v>257</v>
      </c>
      <c r="M19" s="243">
        <f t="shared" si="9"/>
        <v>0</v>
      </c>
      <c r="N19" s="243">
        <f t="shared" si="9"/>
        <v>0</v>
      </c>
      <c r="O19" s="243">
        <f t="shared" si="9"/>
        <v>0</v>
      </c>
      <c r="P19" s="243">
        <f t="shared" si="9"/>
        <v>0</v>
      </c>
      <c r="Q19" s="243">
        <f t="shared" si="9"/>
        <v>0</v>
      </c>
      <c r="R19" s="243">
        <f t="shared" si="9"/>
        <v>0</v>
      </c>
      <c r="S19" s="244">
        <f t="shared" si="9"/>
        <v>0</v>
      </c>
      <c r="T19" s="222">
        <f t="shared" si="1"/>
        <v>0</v>
      </c>
      <c r="U19" s="223">
        <f t="shared" si="3"/>
        <v>0</v>
      </c>
      <c r="W19" s="243">
        <f>M19*SUM(Prihodi!$D$5:$D$7)</f>
        <v>0</v>
      </c>
      <c r="X19" s="243">
        <f>N19*SUM(Prihodi!$D$2:$D$4)</f>
        <v>0</v>
      </c>
      <c r="Y19" s="243">
        <f>O19*SUM(Prihodi!$D$8:$D$10)</f>
        <v>0</v>
      </c>
      <c r="Z19" s="243">
        <f>P19*SUM(Prihodi!$D$20:$D$22)</f>
        <v>0</v>
      </c>
      <c r="AA19" s="243">
        <f>Q19*SUM(Prihodi!$D$11:$D$13)</f>
        <v>0</v>
      </c>
      <c r="AB19" s="243">
        <f>R19*SUM(Prihodi!$D$17:$D$19)</f>
        <v>0</v>
      </c>
      <c r="AC19" s="244">
        <f>S19*SUM(Prihodi!$D$14:$D$16)</f>
        <v>0</v>
      </c>
      <c r="AD19" s="222">
        <f t="shared" si="4"/>
        <v>0</v>
      </c>
      <c r="AE19" s="249">
        <f t="shared" si="5"/>
        <v>0</v>
      </c>
      <c r="AG19" s="243">
        <f>B19*SUM(Prihodi!$D$5:$D$7)</f>
        <v>0</v>
      </c>
      <c r="AH19" s="243">
        <f>C19*SUM(Prihodi!$D$2:$D$4)</f>
        <v>0</v>
      </c>
      <c r="AI19" s="243">
        <f>D19*SUM(Prihodi!$D$8:$D$10)</f>
        <v>0</v>
      </c>
      <c r="AJ19" s="243">
        <f>E19*SUM(Prihodi!$D$20:$D$22)</f>
        <v>0</v>
      </c>
      <c r="AK19" s="243">
        <f>F19*SUM(Prihodi!$D$11:$D$13)</f>
        <v>0</v>
      </c>
      <c r="AL19" s="243">
        <f>G19*SUM(Prihodi!$D$17:$D$19)</f>
        <v>0</v>
      </c>
      <c r="AM19" s="244">
        <f>H19*SUM(Prihodi!$D$14:$D$16)</f>
        <v>0</v>
      </c>
      <c r="AN19" s="222">
        <f t="shared" si="10"/>
        <v>0</v>
      </c>
      <c r="AO19" s="249">
        <f t="shared" si="6"/>
        <v>0</v>
      </c>
    </row>
    <row r="20" spans="1:41" x14ac:dyDescent="0.3">
      <c r="A20" s="221" t="s">
        <v>225</v>
      </c>
      <c r="B20" s="19"/>
      <c r="C20" s="19"/>
      <c r="D20" s="19"/>
      <c r="E20" s="19"/>
      <c r="F20" s="19"/>
      <c r="G20" s="19"/>
      <c r="H20" s="226"/>
      <c r="I20" s="222">
        <v>2</v>
      </c>
      <c r="J20" s="223">
        <f t="shared" si="2"/>
        <v>1.022583762392437</v>
      </c>
      <c r="L20" s="228" t="s">
        <v>257</v>
      </c>
      <c r="M20" s="243">
        <f t="shared" si="9"/>
        <v>0</v>
      </c>
      <c r="N20" s="243">
        <f t="shared" si="9"/>
        <v>0</v>
      </c>
      <c r="O20" s="243">
        <f t="shared" si="9"/>
        <v>0</v>
      </c>
      <c r="P20" s="243">
        <f t="shared" si="9"/>
        <v>0</v>
      </c>
      <c r="Q20" s="243">
        <f t="shared" si="9"/>
        <v>0</v>
      </c>
      <c r="R20" s="243">
        <f t="shared" si="9"/>
        <v>0</v>
      </c>
      <c r="S20" s="244">
        <f t="shared" si="9"/>
        <v>0</v>
      </c>
      <c r="T20" s="222">
        <f t="shared" si="1"/>
        <v>0</v>
      </c>
      <c r="U20" s="223">
        <f t="shared" si="3"/>
        <v>0</v>
      </c>
      <c r="W20" s="243">
        <f>M20*SUM(Prihodi!$D$5:$D$7)</f>
        <v>0</v>
      </c>
      <c r="X20" s="243">
        <f>N20*SUM(Prihodi!$D$2:$D$4)</f>
        <v>0</v>
      </c>
      <c r="Y20" s="243">
        <f>O20*SUM(Prihodi!$D$8:$D$10)</f>
        <v>0</v>
      </c>
      <c r="Z20" s="243">
        <f>P20*SUM(Prihodi!$D$20:$D$22)</f>
        <v>0</v>
      </c>
      <c r="AA20" s="243">
        <f>Q20*SUM(Prihodi!$D$11:$D$13)</f>
        <v>0</v>
      </c>
      <c r="AB20" s="243">
        <f>R20*SUM(Prihodi!$D$17:$D$19)</f>
        <v>0</v>
      </c>
      <c r="AC20" s="244">
        <f>S20*SUM(Prihodi!$D$14:$D$16)</f>
        <v>0</v>
      </c>
      <c r="AD20" s="222">
        <f t="shared" si="4"/>
        <v>0</v>
      </c>
      <c r="AE20" s="249">
        <f t="shared" si="5"/>
        <v>0</v>
      </c>
      <c r="AG20" s="243">
        <f>B20*SUM(Prihodi!$D$5:$D$7)</f>
        <v>0</v>
      </c>
      <c r="AH20" s="243">
        <f>C20*SUM(Prihodi!$D$2:$D$4)</f>
        <v>0</v>
      </c>
      <c r="AI20" s="243">
        <f>D20*SUM(Prihodi!$D$8:$D$10)</f>
        <v>0</v>
      </c>
      <c r="AJ20" s="243">
        <f>E20*SUM(Prihodi!$D$20:$D$22)</f>
        <v>0</v>
      </c>
      <c r="AK20" s="243">
        <f>F20*SUM(Prihodi!$D$11:$D$13)</f>
        <v>0</v>
      </c>
      <c r="AL20" s="243">
        <f>G20*SUM(Prihodi!$D$17:$D$19)</f>
        <v>0</v>
      </c>
      <c r="AM20" s="244">
        <f>H20*SUM(Prihodi!$D$14:$D$16)</f>
        <v>0</v>
      </c>
      <c r="AN20" s="222">
        <f t="shared" si="10"/>
        <v>0</v>
      </c>
      <c r="AO20" s="249">
        <f t="shared" si="6"/>
        <v>0</v>
      </c>
    </row>
    <row r="21" spans="1:41" x14ac:dyDescent="0.3">
      <c r="A21" s="221" t="s">
        <v>226</v>
      </c>
      <c r="B21" s="19"/>
      <c r="C21" s="19"/>
      <c r="D21" s="19">
        <v>0.2</v>
      </c>
      <c r="E21" s="19"/>
      <c r="F21" s="19">
        <v>0.5</v>
      </c>
      <c r="G21" s="19"/>
      <c r="H21" s="226"/>
      <c r="I21" s="222">
        <v>2</v>
      </c>
      <c r="J21" s="223">
        <f t="shared" si="2"/>
        <v>1.022583762392437</v>
      </c>
      <c r="L21" s="228" t="s">
        <v>257</v>
      </c>
      <c r="M21" s="243">
        <f t="shared" si="9"/>
        <v>0</v>
      </c>
      <c r="N21" s="243">
        <f t="shared" si="9"/>
        <v>0</v>
      </c>
      <c r="O21" s="243">
        <f t="shared" si="9"/>
        <v>0.4</v>
      </c>
      <c r="P21" s="243">
        <f t="shared" si="9"/>
        <v>0</v>
      </c>
      <c r="Q21" s="243">
        <f t="shared" si="9"/>
        <v>1</v>
      </c>
      <c r="R21" s="243">
        <f t="shared" si="9"/>
        <v>0</v>
      </c>
      <c r="S21" s="244">
        <f t="shared" si="9"/>
        <v>0</v>
      </c>
      <c r="T21" s="222">
        <f t="shared" si="1"/>
        <v>1.4</v>
      </c>
      <c r="U21" s="223">
        <f t="shared" si="3"/>
        <v>0.71580863367470582</v>
      </c>
      <c r="W21" s="243">
        <f>M21*SUM(Prihodi!$D$5:$D$7)</f>
        <v>0</v>
      </c>
      <c r="X21" s="243">
        <f>N21*SUM(Prihodi!$D$2:$D$4)</f>
        <v>0</v>
      </c>
      <c r="Y21" s="243">
        <f>O21*SUM(Prihodi!$D$8:$D$10)</f>
        <v>17.600000000000001</v>
      </c>
      <c r="Z21" s="243">
        <f>P21*SUM(Prihodi!$D$20:$D$22)</f>
        <v>0</v>
      </c>
      <c r="AA21" s="243">
        <f>Q21*SUM(Prihodi!$D$11:$D$13)</f>
        <v>45</v>
      </c>
      <c r="AB21" s="243">
        <f>R21*SUM(Prihodi!$D$17:$D$19)</f>
        <v>0</v>
      </c>
      <c r="AC21" s="244">
        <f>S21*SUM(Prihodi!$D$14:$D$16)</f>
        <v>0</v>
      </c>
      <c r="AD21" s="222">
        <f t="shared" si="4"/>
        <v>62.6</v>
      </c>
      <c r="AE21" s="249">
        <f t="shared" si="5"/>
        <v>32.006871762883279</v>
      </c>
      <c r="AG21" s="243">
        <f>B21*SUM(Prihodi!$D$5:$D$7)</f>
        <v>0</v>
      </c>
      <c r="AH21" s="243">
        <f>C21*SUM(Prihodi!$D$2:$D$4)</f>
        <v>0</v>
      </c>
      <c r="AI21" s="243">
        <f>D21*SUM(Prihodi!$D$8:$D$10)</f>
        <v>8.8000000000000007</v>
      </c>
      <c r="AJ21" s="243">
        <f>E21*SUM(Prihodi!$D$20:$D$22)</f>
        <v>0</v>
      </c>
      <c r="AK21" s="243">
        <f>F21*SUM(Prihodi!$D$11:$D$13)</f>
        <v>22.5</v>
      </c>
      <c r="AL21" s="243">
        <f>G21*SUM(Prihodi!$D$17:$D$19)</f>
        <v>0</v>
      </c>
      <c r="AM21" s="244">
        <f>H21*SUM(Prihodi!$D$14:$D$16)</f>
        <v>0</v>
      </c>
      <c r="AN21" s="222">
        <f t="shared" si="10"/>
        <v>31.3</v>
      </c>
      <c r="AO21" s="249">
        <f t="shared" si="6"/>
        <v>16.003435881441639</v>
      </c>
    </row>
    <row r="22" spans="1:41" x14ac:dyDescent="0.3">
      <c r="A22" s="221" t="s">
        <v>227</v>
      </c>
      <c r="B22" s="19"/>
      <c r="C22" s="19">
        <v>0.8</v>
      </c>
      <c r="D22" s="19"/>
      <c r="E22" s="19">
        <v>0.4</v>
      </c>
      <c r="F22" s="19"/>
      <c r="G22" s="19">
        <v>0.8</v>
      </c>
      <c r="H22" s="226">
        <v>0.8</v>
      </c>
      <c r="I22" s="222">
        <v>3</v>
      </c>
      <c r="J22" s="223">
        <f t="shared" si="2"/>
        <v>1.5338756435886556</v>
      </c>
      <c r="L22" s="228" t="s">
        <v>257</v>
      </c>
      <c r="M22" s="243">
        <f t="shared" si="9"/>
        <v>0</v>
      </c>
      <c r="N22" s="243">
        <f t="shared" si="9"/>
        <v>2.4000000000000004</v>
      </c>
      <c r="O22" s="243">
        <f t="shared" si="9"/>
        <v>0</v>
      </c>
      <c r="P22" s="243">
        <f t="shared" si="9"/>
        <v>1.2000000000000002</v>
      </c>
      <c r="Q22" s="243">
        <f t="shared" si="9"/>
        <v>0</v>
      </c>
      <c r="R22" s="243">
        <f t="shared" si="9"/>
        <v>2.4000000000000004</v>
      </c>
      <c r="S22" s="244">
        <f t="shared" si="9"/>
        <v>2.4000000000000004</v>
      </c>
      <c r="T22" s="222">
        <f t="shared" si="1"/>
        <v>8.4000000000000021</v>
      </c>
      <c r="U22" s="223">
        <f t="shared" si="3"/>
        <v>4.2948518020482362</v>
      </c>
      <c r="W22" s="243">
        <f>M22*SUM(Prihodi!$D$5:$D$7)</f>
        <v>0</v>
      </c>
      <c r="X22" s="243">
        <f>N22*SUM(Prihodi!$D$2:$D$4)</f>
        <v>122.40000000000002</v>
      </c>
      <c r="Y22" s="243">
        <f>O22*SUM(Prihodi!$D$8:$D$10)</f>
        <v>0</v>
      </c>
      <c r="Z22" s="243">
        <f>P22*SUM(Prihodi!$D$20:$D$22)</f>
        <v>49.20000000000001</v>
      </c>
      <c r="AA22" s="243">
        <f>Q22*SUM(Prihodi!$D$11:$D$13)</f>
        <v>0</v>
      </c>
      <c r="AB22" s="243">
        <f>R22*SUM(Prihodi!$D$17:$D$19)</f>
        <v>50.400000000000006</v>
      </c>
      <c r="AC22" s="244">
        <f>S22*SUM(Prihodi!$D$14:$D$16)</f>
        <v>55.20000000000001</v>
      </c>
      <c r="AD22" s="222">
        <f t="shared" si="4"/>
        <v>277.20000000000005</v>
      </c>
      <c r="AE22" s="249">
        <f t="shared" si="5"/>
        <v>141.7301094675918</v>
      </c>
      <c r="AG22" s="243">
        <f>B22*SUM(Prihodi!$D$5:$D$7)</f>
        <v>0</v>
      </c>
      <c r="AH22" s="243">
        <f>C22*SUM(Prihodi!$D$2:$D$4)</f>
        <v>40.800000000000004</v>
      </c>
      <c r="AI22" s="243">
        <f>D22*SUM(Prihodi!$D$8:$D$10)</f>
        <v>0</v>
      </c>
      <c r="AJ22" s="243">
        <f>E22*SUM(Prihodi!$D$20:$D$22)</f>
        <v>16.400000000000002</v>
      </c>
      <c r="AK22" s="243">
        <f>F22*SUM(Prihodi!$D$11:$D$13)</f>
        <v>0</v>
      </c>
      <c r="AL22" s="243">
        <f>G22*SUM(Prihodi!$D$17:$D$19)</f>
        <v>16.8</v>
      </c>
      <c r="AM22" s="244">
        <f>H22*SUM(Prihodi!$D$14:$D$16)</f>
        <v>18.400000000000002</v>
      </c>
      <c r="AN22" s="222">
        <f t="shared" si="10"/>
        <v>92.4</v>
      </c>
      <c r="AO22" s="249">
        <f t="shared" si="6"/>
        <v>47.243369822530589</v>
      </c>
    </row>
    <row r="23" spans="1:41" x14ac:dyDescent="0.3">
      <c r="A23" s="221" t="s">
        <v>228</v>
      </c>
      <c r="B23" s="19"/>
      <c r="C23" s="19"/>
      <c r="D23" s="19"/>
      <c r="E23" s="19"/>
      <c r="F23" s="19"/>
      <c r="G23" s="19"/>
      <c r="H23" s="226"/>
      <c r="I23" s="222">
        <v>4</v>
      </c>
      <c r="J23" s="223">
        <f t="shared" si="2"/>
        <v>2.045167524784874</v>
      </c>
      <c r="L23" s="228" t="s">
        <v>259</v>
      </c>
      <c r="M23" s="243">
        <f t="shared" si="9"/>
        <v>0</v>
      </c>
      <c r="N23" s="243">
        <f t="shared" si="9"/>
        <v>0</v>
      </c>
      <c r="O23" s="243">
        <f t="shared" si="9"/>
        <v>0</v>
      </c>
      <c r="P23" s="243">
        <f t="shared" si="9"/>
        <v>0</v>
      </c>
      <c r="Q23" s="243">
        <f t="shared" si="9"/>
        <v>0</v>
      </c>
      <c r="R23" s="243">
        <f t="shared" si="9"/>
        <v>0</v>
      </c>
      <c r="S23" s="244">
        <f t="shared" si="9"/>
        <v>0</v>
      </c>
      <c r="T23" s="222">
        <f t="shared" si="1"/>
        <v>0</v>
      </c>
      <c r="U23" s="223">
        <f t="shared" si="3"/>
        <v>0</v>
      </c>
      <c r="W23" s="243">
        <f>M23*SUM(Prihodi!$D$5:$D$7)</f>
        <v>0</v>
      </c>
      <c r="X23" s="243">
        <f>N23*SUM(Prihodi!$D$2:$D$4)</f>
        <v>0</v>
      </c>
      <c r="Y23" s="243">
        <f>O23*SUM(Prihodi!$D$8:$D$10)</f>
        <v>0</v>
      </c>
      <c r="Z23" s="243">
        <f>P23*SUM(Prihodi!$D$20:$D$22)</f>
        <v>0</v>
      </c>
      <c r="AA23" s="243">
        <f>Q23*SUM(Prihodi!$D$11:$D$13)</f>
        <v>0</v>
      </c>
      <c r="AB23" s="243">
        <f>R23*SUM(Prihodi!$D$17:$D$19)</f>
        <v>0</v>
      </c>
      <c r="AC23" s="244">
        <f>S23*SUM(Prihodi!$D$14:$D$16)</f>
        <v>0</v>
      </c>
      <c r="AD23" s="222">
        <f t="shared" si="4"/>
        <v>0</v>
      </c>
      <c r="AE23" s="249">
        <f t="shared" si="5"/>
        <v>0</v>
      </c>
      <c r="AG23" s="243">
        <f>B23*SUM(Prihodi!$D$5:$D$7)</f>
        <v>0</v>
      </c>
      <c r="AH23" s="243">
        <f>C23*SUM(Prihodi!$D$2:$D$4)</f>
        <v>0</v>
      </c>
      <c r="AI23" s="243">
        <f>D23*SUM(Prihodi!$D$8:$D$10)</f>
        <v>0</v>
      </c>
      <c r="AJ23" s="243">
        <f>E23*SUM(Prihodi!$D$20:$D$22)</f>
        <v>0</v>
      </c>
      <c r="AK23" s="243">
        <f>F23*SUM(Prihodi!$D$11:$D$13)</f>
        <v>0</v>
      </c>
      <c r="AL23" s="243">
        <f>G23*SUM(Prihodi!$D$17:$D$19)</f>
        <v>0</v>
      </c>
      <c r="AM23" s="244">
        <f>H23*SUM(Prihodi!$D$14:$D$16)</f>
        <v>0</v>
      </c>
      <c r="AN23" s="222">
        <f t="shared" si="10"/>
        <v>0</v>
      </c>
      <c r="AO23" s="249">
        <f t="shared" si="6"/>
        <v>0</v>
      </c>
    </row>
    <row r="24" spans="1:41" x14ac:dyDescent="0.3">
      <c r="A24" s="221" t="s">
        <v>238</v>
      </c>
      <c r="B24" s="19"/>
      <c r="C24" s="19"/>
      <c r="D24" s="19">
        <v>0.5</v>
      </c>
      <c r="E24" s="19"/>
      <c r="F24" s="19"/>
      <c r="G24" s="19"/>
      <c r="H24" s="226"/>
      <c r="I24" s="222">
        <v>7.5</v>
      </c>
      <c r="J24" s="223">
        <f t="shared" si="2"/>
        <v>3.8346891089716388</v>
      </c>
      <c r="L24" s="228" t="s">
        <v>257</v>
      </c>
      <c r="M24" s="243">
        <f t="shared" si="9"/>
        <v>0</v>
      </c>
      <c r="N24" s="243">
        <f t="shared" si="9"/>
        <v>0</v>
      </c>
      <c r="O24" s="243">
        <f t="shared" si="9"/>
        <v>3.75</v>
      </c>
      <c r="P24" s="243">
        <f t="shared" si="9"/>
        <v>0</v>
      </c>
      <c r="Q24" s="243">
        <f t="shared" si="9"/>
        <v>0</v>
      </c>
      <c r="R24" s="243">
        <f t="shared" si="9"/>
        <v>0</v>
      </c>
      <c r="S24" s="244">
        <f t="shared" si="9"/>
        <v>0</v>
      </c>
      <c r="T24" s="222">
        <f t="shared" si="1"/>
        <v>3.75</v>
      </c>
      <c r="U24" s="223">
        <f t="shared" si="3"/>
        <v>1.9173445544858194</v>
      </c>
      <c r="W24" s="243">
        <f>M24*SUM(Prihodi!$D$5:$D$7)</f>
        <v>0</v>
      </c>
      <c r="X24" s="243">
        <f>N24*SUM(Prihodi!$D$2:$D$4)</f>
        <v>0</v>
      </c>
      <c r="Y24" s="243">
        <f>O24*SUM(Prihodi!$D$8:$D$10)</f>
        <v>165</v>
      </c>
      <c r="Z24" s="243">
        <f>P24*SUM(Prihodi!$D$20:$D$22)</f>
        <v>0</v>
      </c>
      <c r="AA24" s="243">
        <f>Q24*SUM(Prihodi!$D$11:$D$13)</f>
        <v>0</v>
      </c>
      <c r="AB24" s="243">
        <f>R24*SUM(Prihodi!$D$17:$D$19)</f>
        <v>0</v>
      </c>
      <c r="AC24" s="244">
        <f>S24*SUM(Prihodi!$D$14:$D$16)</f>
        <v>0</v>
      </c>
      <c r="AD24" s="222">
        <f t="shared" si="4"/>
        <v>165</v>
      </c>
      <c r="AE24" s="249">
        <f t="shared" si="5"/>
        <v>84.363160397376049</v>
      </c>
      <c r="AG24" s="243">
        <f>B24*SUM(Prihodi!$D$5:$D$7)</f>
        <v>0</v>
      </c>
      <c r="AH24" s="243">
        <f>C24*SUM(Prihodi!$D$2:$D$4)</f>
        <v>0</v>
      </c>
      <c r="AI24" s="243">
        <f>D24*SUM(Prihodi!$D$8:$D$10)</f>
        <v>22</v>
      </c>
      <c r="AJ24" s="243">
        <f>E24*SUM(Prihodi!$D$20:$D$22)</f>
        <v>0</v>
      </c>
      <c r="AK24" s="243">
        <f>F24*SUM(Prihodi!$D$11:$D$13)</f>
        <v>0</v>
      </c>
      <c r="AL24" s="243">
        <f>G24*SUM(Prihodi!$D$17:$D$19)</f>
        <v>0</v>
      </c>
      <c r="AM24" s="244">
        <f>H24*SUM(Prihodi!$D$14:$D$16)</f>
        <v>0</v>
      </c>
      <c r="AN24" s="222">
        <f t="shared" si="10"/>
        <v>22</v>
      </c>
      <c r="AO24" s="249">
        <f t="shared" si="6"/>
        <v>11.248421386316807</v>
      </c>
    </row>
    <row r="25" spans="1:41" x14ac:dyDescent="0.3">
      <c r="A25" s="221" t="s">
        <v>239</v>
      </c>
      <c r="B25" s="19"/>
      <c r="C25" s="19">
        <v>1</v>
      </c>
      <c r="D25" s="19"/>
      <c r="E25" s="19"/>
      <c r="F25" s="19"/>
      <c r="G25" s="19"/>
      <c r="H25" s="226"/>
      <c r="I25" s="222">
        <v>6</v>
      </c>
      <c r="J25" s="223">
        <f t="shared" si="2"/>
        <v>3.0677512871773112</v>
      </c>
      <c r="L25" s="228" t="s">
        <v>256</v>
      </c>
      <c r="M25" s="243">
        <f t="shared" si="9"/>
        <v>0</v>
      </c>
      <c r="N25" s="243">
        <f t="shared" si="9"/>
        <v>6</v>
      </c>
      <c r="O25" s="243">
        <f t="shared" si="9"/>
        <v>0</v>
      </c>
      <c r="P25" s="243">
        <f t="shared" si="9"/>
        <v>0</v>
      </c>
      <c r="Q25" s="243">
        <f t="shared" si="9"/>
        <v>0</v>
      </c>
      <c r="R25" s="243">
        <f t="shared" si="9"/>
        <v>0</v>
      </c>
      <c r="S25" s="244">
        <f t="shared" si="9"/>
        <v>0</v>
      </c>
      <c r="T25" s="222">
        <f t="shared" si="1"/>
        <v>6</v>
      </c>
      <c r="U25" s="223">
        <f t="shared" si="3"/>
        <v>3.0677512871773112</v>
      </c>
      <c r="W25" s="243">
        <f>M25*SUM(Prihodi!$D$5:$D$7)</f>
        <v>0</v>
      </c>
      <c r="X25" s="243">
        <f>N25*SUM(Prihodi!$D$2:$D$4)</f>
        <v>306</v>
      </c>
      <c r="Y25" s="243">
        <f>O25*SUM(Prihodi!$D$8:$D$10)</f>
        <v>0</v>
      </c>
      <c r="Z25" s="243">
        <f>P25*SUM(Prihodi!$D$20:$D$22)</f>
        <v>0</v>
      </c>
      <c r="AA25" s="243">
        <f>Q25*SUM(Prihodi!$D$11:$D$13)</f>
        <v>0</v>
      </c>
      <c r="AB25" s="243">
        <f>R25*SUM(Prihodi!$D$17:$D$19)</f>
        <v>0</v>
      </c>
      <c r="AC25" s="244">
        <f>S25*SUM(Prihodi!$D$14:$D$16)</f>
        <v>0</v>
      </c>
      <c r="AD25" s="222">
        <f t="shared" si="4"/>
        <v>306</v>
      </c>
      <c r="AE25" s="249">
        <f t="shared" si="5"/>
        <v>156.45531564604286</v>
      </c>
      <c r="AG25" s="243">
        <f>B25*SUM(Prihodi!$D$5:$D$7)</f>
        <v>0</v>
      </c>
      <c r="AH25" s="243">
        <f>C25*SUM(Prihodi!$D$2:$D$4)</f>
        <v>51</v>
      </c>
      <c r="AI25" s="243">
        <f>D25*SUM(Prihodi!$D$8:$D$10)</f>
        <v>0</v>
      </c>
      <c r="AJ25" s="243">
        <f>E25*SUM(Prihodi!$D$20:$D$22)</f>
        <v>0</v>
      </c>
      <c r="AK25" s="243">
        <f>F25*SUM(Prihodi!$D$11:$D$13)</f>
        <v>0</v>
      </c>
      <c r="AL25" s="243">
        <f>G25*SUM(Prihodi!$D$17:$D$19)</f>
        <v>0</v>
      </c>
      <c r="AM25" s="244">
        <f>H25*SUM(Prihodi!$D$14:$D$16)</f>
        <v>0</v>
      </c>
      <c r="AN25" s="222">
        <f t="shared" si="10"/>
        <v>51</v>
      </c>
      <c r="AO25" s="249">
        <f t="shared" si="6"/>
        <v>26.075885941007144</v>
      </c>
    </row>
    <row r="26" spans="1:41" x14ac:dyDescent="0.3">
      <c r="A26" s="221" t="s">
        <v>240</v>
      </c>
      <c r="B26" s="19"/>
      <c r="C26" s="19"/>
      <c r="D26" s="19">
        <v>2</v>
      </c>
      <c r="E26" s="19">
        <v>1</v>
      </c>
      <c r="F26" s="19">
        <v>2</v>
      </c>
      <c r="G26" s="19"/>
      <c r="H26" s="226"/>
      <c r="I26" s="222">
        <v>2</v>
      </c>
      <c r="J26" s="223">
        <f t="shared" si="2"/>
        <v>1.022583762392437</v>
      </c>
      <c r="L26" s="228" t="s">
        <v>257</v>
      </c>
      <c r="M26" s="243">
        <f t="shared" si="9"/>
        <v>0</v>
      </c>
      <c r="N26" s="243">
        <f t="shared" si="9"/>
        <v>0</v>
      </c>
      <c r="O26" s="243">
        <f t="shared" si="9"/>
        <v>4</v>
      </c>
      <c r="P26" s="243">
        <f t="shared" si="9"/>
        <v>2</v>
      </c>
      <c r="Q26" s="243">
        <f t="shared" si="9"/>
        <v>4</v>
      </c>
      <c r="R26" s="243">
        <f t="shared" si="9"/>
        <v>0</v>
      </c>
      <c r="S26" s="244">
        <f t="shared" si="9"/>
        <v>0</v>
      </c>
      <c r="T26" s="222">
        <f t="shared" si="1"/>
        <v>10</v>
      </c>
      <c r="U26" s="223">
        <f t="shared" si="3"/>
        <v>5.1129188119621851</v>
      </c>
      <c r="W26" s="243">
        <f>M26*SUM(Prihodi!$D$5:$D$7)</f>
        <v>0</v>
      </c>
      <c r="X26" s="243">
        <f>N26*SUM(Prihodi!$D$2:$D$4)</f>
        <v>0</v>
      </c>
      <c r="Y26" s="243">
        <f>O26*SUM(Prihodi!$D$8:$D$10)</f>
        <v>176</v>
      </c>
      <c r="Z26" s="243">
        <f>P26*SUM(Prihodi!$D$20:$D$22)</f>
        <v>82</v>
      </c>
      <c r="AA26" s="243">
        <f>Q26*SUM(Prihodi!$D$11:$D$13)</f>
        <v>180</v>
      </c>
      <c r="AB26" s="243">
        <f>R26*SUM(Prihodi!$D$17:$D$19)</f>
        <v>0</v>
      </c>
      <c r="AC26" s="244">
        <f>S26*SUM(Prihodi!$D$14:$D$16)</f>
        <v>0</v>
      </c>
      <c r="AD26" s="222">
        <f t="shared" si="4"/>
        <v>438</v>
      </c>
      <c r="AE26" s="249">
        <f t="shared" si="5"/>
        <v>223.9458439639437</v>
      </c>
      <c r="AG26" s="243">
        <f>B26*SUM(Prihodi!$D$5:$D$7)</f>
        <v>0</v>
      </c>
      <c r="AH26" s="243">
        <f>C26*SUM(Prihodi!$D$2:$D$4)</f>
        <v>0</v>
      </c>
      <c r="AI26" s="243">
        <f>D26*SUM(Prihodi!$D$8:$D$10)</f>
        <v>88</v>
      </c>
      <c r="AJ26" s="243">
        <f>E26*SUM(Prihodi!$D$20:$D$22)</f>
        <v>41</v>
      </c>
      <c r="AK26" s="243">
        <f>F26*SUM(Prihodi!$D$11:$D$13)</f>
        <v>90</v>
      </c>
      <c r="AL26" s="243">
        <f>G26*SUM(Prihodi!$D$17:$D$19)</f>
        <v>0</v>
      </c>
      <c r="AM26" s="244">
        <f>H26*SUM(Prihodi!$D$14:$D$16)</f>
        <v>0</v>
      </c>
      <c r="AN26" s="222">
        <f t="shared" si="10"/>
        <v>219</v>
      </c>
      <c r="AO26" s="249">
        <f t="shared" si="6"/>
        <v>111.97292198197185</v>
      </c>
    </row>
    <row r="27" spans="1:41" x14ac:dyDescent="0.3">
      <c r="A27" s="221" t="s">
        <v>241</v>
      </c>
      <c r="B27" s="19"/>
      <c r="C27" s="19"/>
      <c r="D27" s="19">
        <v>0.3</v>
      </c>
      <c r="E27" s="19">
        <v>0.2</v>
      </c>
      <c r="F27" s="19">
        <v>0.2</v>
      </c>
      <c r="G27" s="19"/>
      <c r="H27" s="226"/>
      <c r="I27" s="222">
        <f>3.3*3</f>
        <v>9.8999999999999986</v>
      </c>
      <c r="J27" s="223">
        <f t="shared" si="2"/>
        <v>5.0617896238425626</v>
      </c>
      <c r="L27" s="228" t="s">
        <v>256</v>
      </c>
      <c r="M27" s="243">
        <f t="shared" si="9"/>
        <v>0</v>
      </c>
      <c r="N27" s="243">
        <f t="shared" si="9"/>
        <v>0</v>
      </c>
      <c r="O27" s="243">
        <f t="shared" si="9"/>
        <v>2.9699999999999993</v>
      </c>
      <c r="P27" s="243">
        <f t="shared" si="9"/>
        <v>1.9799999999999998</v>
      </c>
      <c r="Q27" s="243">
        <f t="shared" si="9"/>
        <v>1.9799999999999998</v>
      </c>
      <c r="R27" s="243">
        <f t="shared" si="9"/>
        <v>0</v>
      </c>
      <c r="S27" s="244">
        <f t="shared" si="9"/>
        <v>0</v>
      </c>
      <c r="T27" s="222">
        <f t="shared" si="1"/>
        <v>6.9299999999999988</v>
      </c>
      <c r="U27" s="223">
        <f t="shared" si="3"/>
        <v>3.5432527366897935</v>
      </c>
      <c r="W27" s="243">
        <f>M27*SUM(Prihodi!$D$5:$D$7)</f>
        <v>0</v>
      </c>
      <c r="X27" s="243">
        <f>N27*SUM(Prihodi!$D$2:$D$4)</f>
        <v>0</v>
      </c>
      <c r="Y27" s="243">
        <f>O27*SUM(Prihodi!$D$8:$D$10)</f>
        <v>130.67999999999998</v>
      </c>
      <c r="Z27" s="243">
        <f>P27*SUM(Prihodi!$D$20:$D$22)</f>
        <v>81.179999999999993</v>
      </c>
      <c r="AA27" s="243">
        <f>Q27*SUM(Prihodi!$D$11:$D$13)</f>
        <v>89.1</v>
      </c>
      <c r="AB27" s="243">
        <f>R27*SUM(Prihodi!$D$17:$D$19)</f>
        <v>0</v>
      </c>
      <c r="AC27" s="244">
        <f>S27*SUM(Prihodi!$D$14:$D$16)</f>
        <v>0</v>
      </c>
      <c r="AD27" s="222">
        <f t="shared" si="4"/>
        <v>300.95999999999992</v>
      </c>
      <c r="AE27" s="249">
        <f t="shared" si="5"/>
        <v>153.87840456481388</v>
      </c>
      <c r="AG27" s="243">
        <f>B27*SUM(Prihodi!$D$5:$D$7)</f>
        <v>0</v>
      </c>
      <c r="AH27" s="243">
        <f>C27*SUM(Prihodi!$D$2:$D$4)</f>
        <v>0</v>
      </c>
      <c r="AI27" s="243">
        <f>D27*SUM(Prihodi!$D$8:$D$10)</f>
        <v>13.2</v>
      </c>
      <c r="AJ27" s="243">
        <f>E27*SUM(Prihodi!$D$20:$D$22)</f>
        <v>8.2000000000000011</v>
      </c>
      <c r="AK27" s="243">
        <f>F27*SUM(Prihodi!$D$11:$D$13)</f>
        <v>9</v>
      </c>
      <c r="AL27" s="243">
        <f>G27*SUM(Prihodi!$D$17:$D$19)</f>
        <v>0</v>
      </c>
      <c r="AM27" s="244">
        <f>H27*SUM(Prihodi!$D$14:$D$16)</f>
        <v>0</v>
      </c>
      <c r="AN27" s="222">
        <f t="shared" si="10"/>
        <v>30.4</v>
      </c>
      <c r="AO27" s="249">
        <f t="shared" si="6"/>
        <v>15.543273188365042</v>
      </c>
    </row>
    <row r="28" spans="1:41" x14ac:dyDescent="0.3">
      <c r="A28" s="221" t="s">
        <v>884</v>
      </c>
      <c r="B28" s="19"/>
      <c r="C28" s="19">
        <v>0.3</v>
      </c>
      <c r="D28" s="19">
        <v>0.2</v>
      </c>
      <c r="E28" s="19">
        <v>0.1</v>
      </c>
      <c r="F28" s="19"/>
      <c r="G28" s="19">
        <v>0.25</v>
      </c>
      <c r="H28" s="226"/>
      <c r="I28" s="222">
        <v>12</v>
      </c>
      <c r="J28" s="223">
        <f t="shared" si="2"/>
        <v>6.1355025743546223</v>
      </c>
      <c r="L28" s="228" t="s">
        <v>255</v>
      </c>
      <c r="M28" s="243">
        <f t="shared" si="9"/>
        <v>0</v>
      </c>
      <c r="N28" s="243">
        <f t="shared" si="9"/>
        <v>3.5999999999999996</v>
      </c>
      <c r="O28" s="243">
        <f t="shared" si="9"/>
        <v>2.4000000000000004</v>
      </c>
      <c r="P28" s="243">
        <f t="shared" si="9"/>
        <v>1.2000000000000002</v>
      </c>
      <c r="Q28" s="243">
        <f t="shared" si="9"/>
        <v>0</v>
      </c>
      <c r="R28" s="243">
        <f t="shared" si="9"/>
        <v>3</v>
      </c>
      <c r="S28" s="244">
        <f t="shared" si="9"/>
        <v>0</v>
      </c>
      <c r="T28" s="222">
        <f t="shared" si="1"/>
        <v>10.199999999999999</v>
      </c>
      <c r="U28" s="223">
        <f t="shared" si="3"/>
        <v>5.2151771882014284</v>
      </c>
      <c r="W28" s="243">
        <f>M28*SUM(Prihodi!$D$5:$D$7)</f>
        <v>0</v>
      </c>
      <c r="X28" s="243">
        <f>N28*SUM(Prihodi!$D$2:$D$4)</f>
        <v>183.6</v>
      </c>
      <c r="Y28" s="243">
        <f>O28*SUM(Prihodi!$D$8:$D$10)</f>
        <v>105.60000000000002</v>
      </c>
      <c r="Z28" s="243">
        <f>P28*SUM(Prihodi!$D$20:$D$22)</f>
        <v>49.20000000000001</v>
      </c>
      <c r="AA28" s="243">
        <f>Q28*SUM(Prihodi!$D$11:$D$13)</f>
        <v>0</v>
      </c>
      <c r="AB28" s="243">
        <f>R28*SUM(Prihodi!$D$17:$D$19)</f>
        <v>63</v>
      </c>
      <c r="AC28" s="244">
        <f>S28*SUM(Prihodi!$D$14:$D$16)</f>
        <v>0</v>
      </c>
      <c r="AD28" s="222">
        <f t="shared" si="4"/>
        <v>401.40000000000003</v>
      </c>
      <c r="AE28" s="249">
        <f t="shared" si="5"/>
        <v>205.23256111216213</v>
      </c>
      <c r="AG28" s="243">
        <f>B28*SUM(Prihodi!$D$5:$D$7)</f>
        <v>0</v>
      </c>
      <c r="AH28" s="243">
        <f>C28*SUM(Prihodi!$D$2:$D$4)</f>
        <v>15.299999999999999</v>
      </c>
      <c r="AI28" s="243">
        <f>D28*SUM(Prihodi!$D$8:$D$10)</f>
        <v>8.8000000000000007</v>
      </c>
      <c r="AJ28" s="243">
        <f>E28*SUM(Prihodi!$D$20:$D$22)</f>
        <v>4.1000000000000005</v>
      </c>
      <c r="AK28" s="243">
        <f>F28*SUM(Prihodi!$D$11:$D$13)</f>
        <v>0</v>
      </c>
      <c r="AL28" s="243">
        <f>G28*SUM(Prihodi!$D$17:$D$19)</f>
        <v>5.25</v>
      </c>
      <c r="AM28" s="244">
        <f>H28*SUM(Prihodi!$D$14:$D$16)</f>
        <v>0</v>
      </c>
      <c r="AN28" s="222">
        <f t="shared" si="10"/>
        <v>33.450000000000003</v>
      </c>
      <c r="AO28" s="249">
        <f t="shared" si="6"/>
        <v>17.102713426013509</v>
      </c>
    </row>
    <row r="29" spans="1:41" x14ac:dyDescent="0.3">
      <c r="A29" s="221" t="s">
        <v>242</v>
      </c>
      <c r="B29" s="19"/>
      <c r="C29" s="19"/>
      <c r="D29" s="19"/>
      <c r="E29" s="19"/>
      <c r="F29" s="19">
        <v>0.8</v>
      </c>
      <c r="G29" s="19"/>
      <c r="H29" s="226"/>
      <c r="I29" s="222">
        <v>3.5</v>
      </c>
      <c r="J29" s="223">
        <f t="shared" si="2"/>
        <v>1.7895215841867647</v>
      </c>
      <c r="L29" s="228" t="s">
        <v>257</v>
      </c>
      <c r="M29" s="243">
        <f t="shared" si="9"/>
        <v>0</v>
      </c>
      <c r="N29" s="243">
        <f t="shared" si="9"/>
        <v>0</v>
      </c>
      <c r="O29" s="243">
        <f t="shared" si="9"/>
        <v>0</v>
      </c>
      <c r="P29" s="243">
        <f t="shared" si="9"/>
        <v>0</v>
      </c>
      <c r="Q29" s="243">
        <f t="shared" si="9"/>
        <v>2.8000000000000003</v>
      </c>
      <c r="R29" s="243">
        <f t="shared" si="9"/>
        <v>0</v>
      </c>
      <c r="S29" s="244">
        <f t="shared" si="9"/>
        <v>0</v>
      </c>
      <c r="T29" s="222">
        <f t="shared" si="1"/>
        <v>2.8000000000000003</v>
      </c>
      <c r="U29" s="223">
        <f t="shared" si="3"/>
        <v>1.4316172673494119</v>
      </c>
      <c r="W29" s="243">
        <f>M29*SUM(Prihodi!$D$5:$D$7)</f>
        <v>0</v>
      </c>
      <c r="X29" s="243">
        <f>N29*SUM(Prihodi!$D$2:$D$4)</f>
        <v>0</v>
      </c>
      <c r="Y29" s="243">
        <f>O29*SUM(Prihodi!$D$8:$D$10)</f>
        <v>0</v>
      </c>
      <c r="Z29" s="243">
        <f>P29*SUM(Prihodi!$D$20:$D$22)</f>
        <v>0</v>
      </c>
      <c r="AA29" s="243">
        <f>Q29*SUM(Prihodi!$D$11:$D$13)</f>
        <v>126.00000000000001</v>
      </c>
      <c r="AB29" s="243">
        <f>R29*SUM(Prihodi!$D$17:$D$19)</f>
        <v>0</v>
      </c>
      <c r="AC29" s="244">
        <f>S29*SUM(Prihodi!$D$14:$D$16)</f>
        <v>0</v>
      </c>
      <c r="AD29" s="222">
        <f t="shared" si="4"/>
        <v>126.00000000000001</v>
      </c>
      <c r="AE29" s="249">
        <f t="shared" si="5"/>
        <v>64.422777030723537</v>
      </c>
      <c r="AG29" s="243">
        <f>B29*SUM(Prihodi!$D$5:$D$7)</f>
        <v>0</v>
      </c>
      <c r="AH29" s="243">
        <f>C29*SUM(Prihodi!$D$2:$D$4)</f>
        <v>0</v>
      </c>
      <c r="AI29" s="243">
        <f>D29*SUM(Prihodi!$D$8:$D$10)</f>
        <v>0</v>
      </c>
      <c r="AJ29" s="243">
        <f>E29*SUM(Prihodi!$D$20:$D$22)</f>
        <v>0</v>
      </c>
      <c r="AK29" s="243">
        <f>F29*SUM(Prihodi!$D$11:$D$13)</f>
        <v>36</v>
      </c>
      <c r="AL29" s="243">
        <f>G29*SUM(Prihodi!$D$17:$D$19)</f>
        <v>0</v>
      </c>
      <c r="AM29" s="244">
        <f>H29*SUM(Prihodi!$D$14:$D$16)</f>
        <v>0</v>
      </c>
      <c r="AN29" s="222">
        <f t="shared" si="10"/>
        <v>36</v>
      </c>
      <c r="AO29" s="249">
        <f t="shared" si="6"/>
        <v>18.406507723063864</v>
      </c>
    </row>
    <row r="30" spans="1:41" x14ac:dyDescent="0.3">
      <c r="A30" s="221" t="s">
        <v>243</v>
      </c>
      <c r="B30" s="19">
        <v>1</v>
      </c>
      <c r="C30" s="19">
        <v>1</v>
      </c>
      <c r="D30" s="19">
        <v>1</v>
      </c>
      <c r="E30" s="19">
        <v>1</v>
      </c>
      <c r="F30" s="19">
        <v>1</v>
      </c>
      <c r="G30" s="19">
        <v>1</v>
      </c>
      <c r="H30" s="226">
        <v>1</v>
      </c>
      <c r="I30" s="222">
        <v>1.5</v>
      </c>
      <c r="J30" s="223">
        <f t="shared" si="2"/>
        <v>0.76693782179432779</v>
      </c>
      <c r="L30" s="228" t="s">
        <v>258</v>
      </c>
      <c r="M30" s="243">
        <f t="shared" si="9"/>
        <v>1.5</v>
      </c>
      <c r="N30" s="243">
        <f t="shared" si="9"/>
        <v>1.5</v>
      </c>
      <c r="O30" s="243">
        <f t="shared" si="9"/>
        <v>1.5</v>
      </c>
      <c r="P30" s="243">
        <f t="shared" si="9"/>
        <v>1.5</v>
      </c>
      <c r="Q30" s="243">
        <f t="shared" si="9"/>
        <v>1.5</v>
      </c>
      <c r="R30" s="243">
        <f t="shared" si="9"/>
        <v>1.5</v>
      </c>
      <c r="S30" s="244">
        <f t="shared" si="9"/>
        <v>1.5</v>
      </c>
      <c r="T30" s="222">
        <f t="shared" si="1"/>
        <v>10.5</v>
      </c>
      <c r="U30" s="223">
        <f t="shared" si="3"/>
        <v>5.3685647525602942</v>
      </c>
      <c r="W30" s="243">
        <f>M30*SUM(Prihodi!$D$5:$D$7)</f>
        <v>40.5</v>
      </c>
      <c r="X30" s="243">
        <f>N30*SUM(Prihodi!$D$2:$D$4)</f>
        <v>76.5</v>
      </c>
      <c r="Y30" s="243">
        <f>O30*SUM(Prihodi!$D$8:$D$10)</f>
        <v>66</v>
      </c>
      <c r="Z30" s="243">
        <f>P30*SUM(Prihodi!$D$20:$D$22)</f>
        <v>61.5</v>
      </c>
      <c r="AA30" s="243">
        <f>Q30*SUM(Prihodi!$D$11:$D$13)</f>
        <v>67.5</v>
      </c>
      <c r="AB30" s="243">
        <f>R30*SUM(Prihodi!$D$17:$D$19)</f>
        <v>31.5</v>
      </c>
      <c r="AC30" s="244">
        <f>S30*SUM(Prihodi!$D$14:$D$16)</f>
        <v>34.5</v>
      </c>
      <c r="AD30" s="222">
        <f t="shared" si="4"/>
        <v>378</v>
      </c>
      <c r="AE30" s="249">
        <f t="shared" si="5"/>
        <v>193.2683310921706</v>
      </c>
      <c r="AG30" s="243">
        <f>B30*SUM(Prihodi!$D$5:$D$7)</f>
        <v>27</v>
      </c>
      <c r="AH30" s="243">
        <f>C30*SUM(Prihodi!$D$2:$D$4)</f>
        <v>51</v>
      </c>
      <c r="AI30" s="243">
        <f>D30*SUM(Prihodi!$D$8:$D$10)</f>
        <v>44</v>
      </c>
      <c r="AJ30" s="243">
        <f>E30*SUM(Prihodi!$D$20:$D$22)</f>
        <v>41</v>
      </c>
      <c r="AK30" s="243">
        <f>F30*SUM(Prihodi!$D$11:$D$13)</f>
        <v>45</v>
      </c>
      <c r="AL30" s="243">
        <f>G30*SUM(Prihodi!$D$17:$D$19)</f>
        <v>21</v>
      </c>
      <c r="AM30" s="244">
        <f>H30*SUM(Prihodi!$D$14:$D$16)</f>
        <v>23</v>
      </c>
      <c r="AN30" s="222">
        <f t="shared" si="10"/>
        <v>252</v>
      </c>
      <c r="AO30" s="249">
        <f t="shared" si="6"/>
        <v>128.84555406144707</v>
      </c>
    </row>
    <row r="31" spans="1:41" x14ac:dyDescent="0.3">
      <c r="A31" s="221" t="s">
        <v>885</v>
      </c>
      <c r="B31" s="19"/>
      <c r="C31" s="19">
        <v>2.5</v>
      </c>
      <c r="D31" s="19"/>
      <c r="E31" s="19">
        <v>2.5</v>
      </c>
      <c r="F31" s="19"/>
      <c r="G31" s="19">
        <v>1.8</v>
      </c>
      <c r="H31" s="226">
        <v>1.8</v>
      </c>
      <c r="I31" s="222">
        <f>5/2.7</f>
        <v>1.8518518518518516</v>
      </c>
      <c r="J31" s="223">
        <f t="shared" si="2"/>
        <v>0.94683681703003419</v>
      </c>
      <c r="L31" s="228" t="s">
        <v>257</v>
      </c>
      <c r="M31" s="243">
        <f t="shared" si="9"/>
        <v>0</v>
      </c>
      <c r="N31" s="243">
        <f t="shared" si="9"/>
        <v>4.6296296296296289</v>
      </c>
      <c r="O31" s="243">
        <f t="shared" si="9"/>
        <v>0</v>
      </c>
      <c r="P31" s="243">
        <f t="shared" si="9"/>
        <v>4.6296296296296289</v>
      </c>
      <c r="Q31" s="243">
        <f t="shared" si="9"/>
        <v>0</v>
      </c>
      <c r="R31" s="243">
        <f t="shared" si="9"/>
        <v>3.333333333333333</v>
      </c>
      <c r="S31" s="244">
        <f t="shared" si="9"/>
        <v>3.333333333333333</v>
      </c>
      <c r="T31" s="222">
        <f t="shared" si="1"/>
        <v>15.925925925925924</v>
      </c>
      <c r="U31" s="223">
        <f t="shared" si="3"/>
        <v>8.1427966264582938</v>
      </c>
      <c r="W31" s="243">
        <f>M31*SUM(Prihodi!$D$5:$D$7)</f>
        <v>0</v>
      </c>
      <c r="X31" s="243">
        <f>N31*SUM(Prihodi!$D$2:$D$4)</f>
        <v>236.11111111111109</v>
      </c>
      <c r="Y31" s="243">
        <f>O31*SUM(Prihodi!$D$8:$D$10)</f>
        <v>0</v>
      </c>
      <c r="Z31" s="243">
        <f>P31*SUM(Prihodi!$D$20:$D$22)</f>
        <v>189.81481481481478</v>
      </c>
      <c r="AA31" s="243">
        <f>Q31*SUM(Prihodi!$D$11:$D$13)</f>
        <v>0</v>
      </c>
      <c r="AB31" s="243">
        <f>R31*SUM(Prihodi!$D$17:$D$19)</f>
        <v>70</v>
      </c>
      <c r="AC31" s="244">
        <f>S31*SUM(Prihodi!$D$14:$D$16)</f>
        <v>76.666666666666657</v>
      </c>
      <c r="AD31" s="222">
        <f t="shared" si="4"/>
        <v>572.5925925925925</v>
      </c>
      <c r="AE31" s="249">
        <f t="shared" si="5"/>
        <v>292.76194382568656</v>
      </c>
      <c r="AG31" s="243">
        <f>B31*SUM(Prihodi!$D$5:$D$7)</f>
        <v>0</v>
      </c>
      <c r="AH31" s="243">
        <f>C31*SUM(Prihodi!$D$2:$D$4)</f>
        <v>127.5</v>
      </c>
      <c r="AI31" s="243">
        <f>D31*SUM(Prihodi!$D$8:$D$10)</f>
        <v>0</v>
      </c>
      <c r="AJ31" s="243">
        <f>E31*SUM(Prihodi!$D$20:$D$22)</f>
        <v>102.5</v>
      </c>
      <c r="AK31" s="243">
        <f>F31*SUM(Prihodi!$D$11:$D$13)</f>
        <v>0</v>
      </c>
      <c r="AL31" s="243">
        <f>G31*SUM(Prihodi!$D$17:$D$19)</f>
        <v>37.800000000000004</v>
      </c>
      <c r="AM31" s="244">
        <f>H31*SUM(Prihodi!$D$14:$D$16)</f>
        <v>41.4</v>
      </c>
      <c r="AN31" s="222">
        <f t="shared" si="10"/>
        <v>309.2</v>
      </c>
      <c r="AO31" s="249">
        <f t="shared" si="6"/>
        <v>158.09144966587075</v>
      </c>
    </row>
    <row r="32" spans="1:41" x14ac:dyDescent="0.3">
      <c r="A32" s="221" t="s">
        <v>244</v>
      </c>
      <c r="B32" s="19"/>
      <c r="C32" s="19"/>
      <c r="D32" s="19">
        <v>0.8</v>
      </c>
      <c r="E32" s="19"/>
      <c r="F32" s="19">
        <v>0.5</v>
      </c>
      <c r="G32" s="19"/>
      <c r="H32" s="226"/>
      <c r="I32" s="222">
        <v>6</v>
      </c>
      <c r="J32" s="223">
        <f t="shared" si="2"/>
        <v>3.0677512871773112</v>
      </c>
      <c r="L32" s="228" t="s">
        <v>255</v>
      </c>
      <c r="M32" s="243">
        <f t="shared" si="9"/>
        <v>0</v>
      </c>
      <c r="N32" s="243">
        <f t="shared" si="9"/>
        <v>0</v>
      </c>
      <c r="O32" s="243">
        <f t="shared" si="9"/>
        <v>4.8000000000000007</v>
      </c>
      <c r="P32" s="243">
        <f t="shared" si="9"/>
        <v>0</v>
      </c>
      <c r="Q32" s="243">
        <f t="shared" si="9"/>
        <v>3</v>
      </c>
      <c r="R32" s="243">
        <f t="shared" si="9"/>
        <v>0</v>
      </c>
      <c r="S32" s="244">
        <f t="shared" si="9"/>
        <v>0</v>
      </c>
      <c r="T32" s="222">
        <f t="shared" si="1"/>
        <v>7.8000000000000007</v>
      </c>
      <c r="U32" s="223">
        <f t="shared" si="3"/>
        <v>3.9880766733305046</v>
      </c>
      <c r="W32" s="243">
        <f>M32*SUM(Prihodi!$D$5:$D$7)</f>
        <v>0</v>
      </c>
      <c r="X32" s="243">
        <f>N32*SUM(Prihodi!$D$2:$D$4)</f>
        <v>0</v>
      </c>
      <c r="Y32" s="243">
        <f>O32*SUM(Prihodi!$D$8:$D$10)</f>
        <v>211.20000000000005</v>
      </c>
      <c r="Z32" s="243">
        <f>P32*SUM(Prihodi!$D$20:$D$22)</f>
        <v>0</v>
      </c>
      <c r="AA32" s="243">
        <f>Q32*SUM(Prihodi!$D$11:$D$13)</f>
        <v>135</v>
      </c>
      <c r="AB32" s="243">
        <f>R32*SUM(Prihodi!$D$17:$D$19)</f>
        <v>0</v>
      </c>
      <c r="AC32" s="244">
        <f>S32*SUM(Prihodi!$D$14:$D$16)</f>
        <v>0</v>
      </c>
      <c r="AD32" s="222">
        <f t="shared" si="4"/>
        <v>346.20000000000005</v>
      </c>
      <c r="AE32" s="249">
        <f t="shared" si="5"/>
        <v>177.00924927013088</v>
      </c>
      <c r="AG32" s="243">
        <f>B32*SUM(Prihodi!$D$5:$D$7)</f>
        <v>0</v>
      </c>
      <c r="AH32" s="243">
        <f>C32*SUM(Prihodi!$D$2:$D$4)</f>
        <v>0</v>
      </c>
      <c r="AI32" s="243">
        <f>D32*SUM(Prihodi!$D$8:$D$10)</f>
        <v>35.200000000000003</v>
      </c>
      <c r="AJ32" s="243">
        <f>E32*SUM(Prihodi!$D$20:$D$22)</f>
        <v>0</v>
      </c>
      <c r="AK32" s="243">
        <f>F32*SUM(Prihodi!$D$11:$D$13)</f>
        <v>22.5</v>
      </c>
      <c r="AL32" s="243">
        <f>G32*SUM(Prihodi!$D$17:$D$19)</f>
        <v>0</v>
      </c>
      <c r="AM32" s="244">
        <f>H32*SUM(Prihodi!$D$14:$D$16)</f>
        <v>0</v>
      </c>
      <c r="AN32" s="222">
        <f t="shared" si="10"/>
        <v>57.7</v>
      </c>
      <c r="AO32" s="249">
        <f t="shared" si="6"/>
        <v>29.501541545021809</v>
      </c>
    </row>
    <row r="33" spans="1:41" x14ac:dyDescent="0.3">
      <c r="A33" s="221" t="s">
        <v>245</v>
      </c>
      <c r="B33" s="19"/>
      <c r="C33" s="19"/>
      <c r="D33" s="19"/>
      <c r="E33" s="19"/>
      <c r="F33" s="19"/>
      <c r="G33" s="19"/>
      <c r="H33" s="226">
        <v>0.7</v>
      </c>
      <c r="I33" s="222">
        <v>8</v>
      </c>
      <c r="J33" s="223">
        <f t="shared" si="2"/>
        <v>4.0903350495697479</v>
      </c>
      <c r="L33" s="228" t="s">
        <v>255</v>
      </c>
      <c r="M33" s="243">
        <f t="shared" si="9"/>
        <v>0</v>
      </c>
      <c r="N33" s="243">
        <f t="shared" si="9"/>
        <v>0</v>
      </c>
      <c r="O33" s="243">
        <f t="shared" si="9"/>
        <v>0</v>
      </c>
      <c r="P33" s="243">
        <f t="shared" si="9"/>
        <v>0</v>
      </c>
      <c r="Q33" s="243">
        <f t="shared" si="9"/>
        <v>0</v>
      </c>
      <c r="R33" s="243">
        <f t="shared" si="9"/>
        <v>0</v>
      </c>
      <c r="S33" s="244">
        <f t="shared" si="9"/>
        <v>5.6</v>
      </c>
      <c r="T33" s="222">
        <f t="shared" si="1"/>
        <v>5.6</v>
      </c>
      <c r="U33" s="223">
        <f t="shared" si="3"/>
        <v>2.8632345346988233</v>
      </c>
      <c r="W33" s="243">
        <f>M33*SUM(Prihodi!$D$5:$D$7)</f>
        <v>0</v>
      </c>
      <c r="X33" s="243">
        <f>N33*SUM(Prihodi!$D$2:$D$4)</f>
        <v>0</v>
      </c>
      <c r="Y33" s="243">
        <f>O33*SUM(Prihodi!$D$8:$D$10)</f>
        <v>0</v>
      </c>
      <c r="Z33" s="243">
        <f>P33*SUM(Prihodi!$D$20:$D$22)</f>
        <v>0</v>
      </c>
      <c r="AA33" s="243">
        <f>Q33*SUM(Prihodi!$D$11:$D$13)</f>
        <v>0</v>
      </c>
      <c r="AB33" s="243">
        <f>R33*SUM(Prihodi!$D$17:$D$19)</f>
        <v>0</v>
      </c>
      <c r="AC33" s="244">
        <f>S33*SUM(Prihodi!$D$14:$D$16)</f>
        <v>128.79999999999998</v>
      </c>
      <c r="AD33" s="222">
        <f t="shared" si="4"/>
        <v>128.79999999999998</v>
      </c>
      <c r="AE33" s="249">
        <f t="shared" si="5"/>
        <v>65.854394298072933</v>
      </c>
      <c r="AG33" s="243">
        <f>B33*SUM(Prihodi!$D$5:$D$7)</f>
        <v>0</v>
      </c>
      <c r="AH33" s="243">
        <f>C33*SUM(Prihodi!$D$2:$D$4)</f>
        <v>0</v>
      </c>
      <c r="AI33" s="243">
        <f>D33*SUM(Prihodi!$D$8:$D$10)</f>
        <v>0</v>
      </c>
      <c r="AJ33" s="243">
        <f>E33*SUM(Prihodi!$D$20:$D$22)</f>
        <v>0</v>
      </c>
      <c r="AK33" s="243">
        <f>F33*SUM(Prihodi!$D$11:$D$13)</f>
        <v>0</v>
      </c>
      <c r="AL33" s="243">
        <f>G33*SUM(Prihodi!$D$17:$D$19)</f>
        <v>0</v>
      </c>
      <c r="AM33" s="244">
        <f>H33*SUM(Prihodi!$D$14:$D$16)</f>
        <v>16.099999999999998</v>
      </c>
      <c r="AN33" s="222">
        <f t="shared" si="10"/>
        <v>16.099999999999998</v>
      </c>
      <c r="AO33" s="249">
        <f t="shared" si="6"/>
        <v>8.2317992872591166</v>
      </c>
    </row>
    <row r="34" spans="1:41" x14ac:dyDescent="0.3">
      <c r="A34" s="221" t="s">
        <v>246</v>
      </c>
      <c r="B34" s="19"/>
      <c r="C34" s="19"/>
      <c r="D34" s="19">
        <v>1</v>
      </c>
      <c r="E34" s="19">
        <v>1</v>
      </c>
      <c r="F34" s="19">
        <v>1</v>
      </c>
      <c r="G34" s="19"/>
      <c r="H34" s="226"/>
      <c r="I34" s="222">
        <v>1.4</v>
      </c>
      <c r="J34" s="223">
        <f t="shared" si="2"/>
        <v>0.71580863367470582</v>
      </c>
      <c r="L34" s="228" t="s">
        <v>258</v>
      </c>
      <c r="M34" s="243">
        <f t="shared" si="9"/>
        <v>0</v>
      </c>
      <c r="N34" s="243">
        <f t="shared" si="9"/>
        <v>0</v>
      </c>
      <c r="O34" s="243">
        <f t="shared" si="9"/>
        <v>1.4</v>
      </c>
      <c r="P34" s="243">
        <f t="shared" si="9"/>
        <v>1.4</v>
      </c>
      <c r="Q34" s="243">
        <f t="shared" si="9"/>
        <v>1.4</v>
      </c>
      <c r="R34" s="243">
        <f t="shared" si="9"/>
        <v>0</v>
      </c>
      <c r="S34" s="244">
        <f t="shared" si="9"/>
        <v>0</v>
      </c>
      <c r="T34" s="222">
        <f t="shared" si="1"/>
        <v>4.1999999999999993</v>
      </c>
      <c r="U34" s="223">
        <f t="shared" si="3"/>
        <v>2.1474259010241172</v>
      </c>
      <c r="W34" s="243">
        <f>M34*SUM(Prihodi!$D$5:$D$7)</f>
        <v>0</v>
      </c>
      <c r="X34" s="243">
        <f>N34*SUM(Prihodi!$D$2:$D$4)</f>
        <v>0</v>
      </c>
      <c r="Y34" s="243">
        <f>O34*SUM(Prihodi!$D$8:$D$10)</f>
        <v>61.599999999999994</v>
      </c>
      <c r="Z34" s="243">
        <f>P34*SUM(Prihodi!$D$20:$D$22)</f>
        <v>57.4</v>
      </c>
      <c r="AA34" s="243">
        <f>Q34*SUM(Prihodi!$D$11:$D$13)</f>
        <v>62.999999999999993</v>
      </c>
      <c r="AB34" s="243">
        <f>R34*SUM(Prihodi!$D$17:$D$19)</f>
        <v>0</v>
      </c>
      <c r="AC34" s="244">
        <f>S34*SUM(Prihodi!$D$14:$D$16)</f>
        <v>0</v>
      </c>
      <c r="AD34" s="222">
        <f t="shared" si="4"/>
        <v>182</v>
      </c>
      <c r="AE34" s="249">
        <f t="shared" si="5"/>
        <v>93.055122377711768</v>
      </c>
      <c r="AG34" s="243">
        <f>B34*SUM(Prihodi!$D$5:$D$7)</f>
        <v>0</v>
      </c>
      <c r="AH34" s="243">
        <f>C34*SUM(Prihodi!$D$2:$D$4)</f>
        <v>0</v>
      </c>
      <c r="AI34" s="243">
        <f>D34*SUM(Prihodi!$D$8:$D$10)</f>
        <v>44</v>
      </c>
      <c r="AJ34" s="243">
        <f>E34*SUM(Prihodi!$D$20:$D$22)</f>
        <v>41</v>
      </c>
      <c r="AK34" s="243">
        <f>F34*SUM(Prihodi!$D$11:$D$13)</f>
        <v>45</v>
      </c>
      <c r="AL34" s="243">
        <f>G34*SUM(Prihodi!$D$17:$D$19)</f>
        <v>0</v>
      </c>
      <c r="AM34" s="244">
        <f>H34*SUM(Prihodi!$D$14:$D$16)</f>
        <v>0</v>
      </c>
      <c r="AN34" s="222">
        <f t="shared" si="10"/>
        <v>130</v>
      </c>
      <c r="AO34" s="249">
        <f t="shared" si="6"/>
        <v>66.46794455550841</v>
      </c>
    </row>
    <row r="35" spans="1:41" x14ac:dyDescent="0.3">
      <c r="A35" s="221" t="s">
        <v>247</v>
      </c>
      <c r="B35" s="19"/>
      <c r="C35" s="19"/>
      <c r="D35" s="19"/>
      <c r="E35" s="19">
        <v>1</v>
      </c>
      <c r="F35" s="19">
        <v>1</v>
      </c>
      <c r="G35" s="19"/>
      <c r="H35" s="226"/>
      <c r="I35" s="222">
        <v>1.4</v>
      </c>
      <c r="J35" s="223">
        <f t="shared" si="2"/>
        <v>0.71580863367470582</v>
      </c>
      <c r="L35" s="228" t="s">
        <v>258</v>
      </c>
      <c r="M35" s="243">
        <f t="shared" si="9"/>
        <v>0</v>
      </c>
      <c r="N35" s="243">
        <f t="shared" si="9"/>
        <v>0</v>
      </c>
      <c r="O35" s="243">
        <f t="shared" si="9"/>
        <v>0</v>
      </c>
      <c r="P35" s="243">
        <f t="shared" si="9"/>
        <v>1.4</v>
      </c>
      <c r="Q35" s="243">
        <f t="shared" si="9"/>
        <v>1.4</v>
      </c>
      <c r="R35" s="243">
        <f t="shared" si="9"/>
        <v>0</v>
      </c>
      <c r="S35" s="244">
        <f t="shared" si="9"/>
        <v>0</v>
      </c>
      <c r="T35" s="222">
        <f t="shared" si="1"/>
        <v>2.8</v>
      </c>
      <c r="U35" s="223">
        <f t="shared" si="3"/>
        <v>1.4316172673494116</v>
      </c>
      <c r="W35" s="243">
        <f>M35*SUM(Prihodi!$D$5:$D$7)</f>
        <v>0</v>
      </c>
      <c r="X35" s="243">
        <f>N35*SUM(Prihodi!$D$2:$D$4)</f>
        <v>0</v>
      </c>
      <c r="Y35" s="243">
        <f>O35*SUM(Prihodi!$D$8:$D$10)</f>
        <v>0</v>
      </c>
      <c r="Z35" s="243">
        <f>P35*SUM(Prihodi!$D$20:$D$22)</f>
        <v>57.4</v>
      </c>
      <c r="AA35" s="243">
        <f>Q35*SUM(Prihodi!$D$11:$D$13)</f>
        <v>62.999999999999993</v>
      </c>
      <c r="AB35" s="243">
        <f>R35*SUM(Prihodi!$D$17:$D$19)</f>
        <v>0</v>
      </c>
      <c r="AC35" s="244">
        <f>S35*SUM(Prihodi!$D$14:$D$16)</f>
        <v>0</v>
      </c>
      <c r="AD35" s="222">
        <f t="shared" si="4"/>
        <v>120.39999999999999</v>
      </c>
      <c r="AE35" s="249">
        <f t="shared" si="5"/>
        <v>61.559542496024704</v>
      </c>
      <c r="AG35" s="243">
        <f>B35*SUM(Prihodi!$D$5:$D$7)</f>
        <v>0</v>
      </c>
      <c r="AH35" s="243">
        <f>C35*SUM(Prihodi!$D$2:$D$4)</f>
        <v>0</v>
      </c>
      <c r="AI35" s="243">
        <f>D35*SUM(Prihodi!$D$8:$D$10)</f>
        <v>0</v>
      </c>
      <c r="AJ35" s="243">
        <f>E35*SUM(Prihodi!$D$20:$D$22)</f>
        <v>41</v>
      </c>
      <c r="AK35" s="243">
        <f>F35*SUM(Prihodi!$D$11:$D$13)</f>
        <v>45</v>
      </c>
      <c r="AL35" s="243">
        <f>G35*SUM(Prihodi!$D$17:$D$19)</f>
        <v>0</v>
      </c>
      <c r="AM35" s="244">
        <f>H35*SUM(Prihodi!$D$14:$D$16)</f>
        <v>0</v>
      </c>
      <c r="AN35" s="222">
        <f t="shared" si="10"/>
        <v>86</v>
      </c>
      <c r="AO35" s="249">
        <f t="shared" si="6"/>
        <v>43.97110178287479</v>
      </c>
    </row>
    <row r="36" spans="1:41" x14ac:dyDescent="0.3">
      <c r="A36" s="221" t="s">
        <v>248</v>
      </c>
      <c r="B36" s="19"/>
      <c r="C36" s="19"/>
      <c r="D36" s="19"/>
      <c r="E36" s="19"/>
      <c r="F36" s="19">
        <v>0.5</v>
      </c>
      <c r="G36" s="19"/>
      <c r="H36" s="226"/>
      <c r="I36" s="222">
        <v>3</v>
      </c>
      <c r="J36" s="223">
        <f t="shared" si="2"/>
        <v>1.5338756435886556</v>
      </c>
      <c r="L36" s="228" t="s">
        <v>257</v>
      </c>
      <c r="M36" s="243">
        <f t="shared" si="9"/>
        <v>0</v>
      </c>
      <c r="N36" s="243">
        <f t="shared" si="9"/>
        <v>0</v>
      </c>
      <c r="O36" s="243">
        <f t="shared" si="9"/>
        <v>0</v>
      </c>
      <c r="P36" s="243">
        <f t="shared" si="9"/>
        <v>0</v>
      </c>
      <c r="Q36" s="243">
        <f t="shared" si="9"/>
        <v>1.5</v>
      </c>
      <c r="R36" s="243">
        <f t="shared" si="9"/>
        <v>0</v>
      </c>
      <c r="S36" s="244">
        <f t="shared" si="9"/>
        <v>0</v>
      </c>
      <c r="T36" s="222">
        <f t="shared" si="1"/>
        <v>1.5</v>
      </c>
      <c r="U36" s="223">
        <f t="shared" si="3"/>
        <v>0.76693782179432779</v>
      </c>
      <c r="W36" s="243">
        <f>M36*SUM(Prihodi!$D$5:$D$7)</f>
        <v>0</v>
      </c>
      <c r="X36" s="243">
        <f>N36*SUM(Prihodi!$D$2:$D$4)</f>
        <v>0</v>
      </c>
      <c r="Y36" s="243">
        <f>O36*SUM(Prihodi!$D$8:$D$10)</f>
        <v>0</v>
      </c>
      <c r="Z36" s="243">
        <f>P36*SUM(Prihodi!$D$20:$D$22)</f>
        <v>0</v>
      </c>
      <c r="AA36" s="243">
        <f>Q36*SUM(Prihodi!$D$11:$D$13)</f>
        <v>67.5</v>
      </c>
      <c r="AB36" s="243">
        <f>R36*SUM(Prihodi!$D$17:$D$19)</f>
        <v>0</v>
      </c>
      <c r="AC36" s="244">
        <f>S36*SUM(Prihodi!$D$14:$D$16)</f>
        <v>0</v>
      </c>
      <c r="AD36" s="222">
        <f t="shared" si="4"/>
        <v>67.5</v>
      </c>
      <c r="AE36" s="249">
        <f t="shared" si="5"/>
        <v>34.512201980744749</v>
      </c>
      <c r="AG36" s="243">
        <f>B36*SUM(Prihodi!$D$5:$D$7)</f>
        <v>0</v>
      </c>
      <c r="AH36" s="243">
        <f>C36*SUM(Prihodi!$D$2:$D$4)</f>
        <v>0</v>
      </c>
      <c r="AI36" s="243">
        <f>D36*SUM(Prihodi!$D$8:$D$10)</f>
        <v>0</v>
      </c>
      <c r="AJ36" s="243">
        <f>E36*SUM(Prihodi!$D$20:$D$22)</f>
        <v>0</v>
      </c>
      <c r="AK36" s="243">
        <f>F36*SUM(Prihodi!$D$11:$D$13)</f>
        <v>22.5</v>
      </c>
      <c r="AL36" s="243">
        <f>G36*SUM(Prihodi!$D$17:$D$19)</f>
        <v>0</v>
      </c>
      <c r="AM36" s="244">
        <f>H36*SUM(Prihodi!$D$14:$D$16)</f>
        <v>0</v>
      </c>
      <c r="AN36" s="222">
        <f t="shared" si="10"/>
        <v>22.5</v>
      </c>
      <c r="AO36" s="249">
        <f t="shared" si="6"/>
        <v>11.504067326914916</v>
      </c>
    </row>
    <row r="37" spans="1:41" x14ac:dyDescent="0.3">
      <c r="A37" s="221" t="s">
        <v>249</v>
      </c>
      <c r="B37" s="19"/>
      <c r="C37" s="19"/>
      <c r="D37" s="19"/>
      <c r="E37" s="19"/>
      <c r="F37" s="19"/>
      <c r="G37" s="19">
        <v>1</v>
      </c>
      <c r="H37" s="226">
        <v>1</v>
      </c>
      <c r="I37" s="222">
        <v>2</v>
      </c>
      <c r="J37" s="223">
        <f t="shared" si="2"/>
        <v>1.022583762392437</v>
      </c>
      <c r="L37" s="228" t="s">
        <v>258</v>
      </c>
      <c r="M37" s="243">
        <f t="shared" si="9"/>
        <v>0</v>
      </c>
      <c r="N37" s="243">
        <f t="shared" si="9"/>
        <v>0</v>
      </c>
      <c r="O37" s="243">
        <f t="shared" si="9"/>
        <v>0</v>
      </c>
      <c r="P37" s="243">
        <f t="shared" si="9"/>
        <v>0</v>
      </c>
      <c r="Q37" s="243">
        <f t="shared" si="9"/>
        <v>0</v>
      </c>
      <c r="R37" s="243">
        <f t="shared" si="9"/>
        <v>2</v>
      </c>
      <c r="S37" s="244">
        <f t="shared" si="9"/>
        <v>2</v>
      </c>
      <c r="T37" s="222">
        <f t="shared" si="1"/>
        <v>4</v>
      </c>
      <c r="U37" s="223">
        <f t="shared" si="3"/>
        <v>2.045167524784874</v>
      </c>
      <c r="W37" s="243">
        <f>M37*SUM(Prihodi!$D$5:$D$7)</f>
        <v>0</v>
      </c>
      <c r="X37" s="243">
        <f>N37*SUM(Prihodi!$D$2:$D$4)</f>
        <v>0</v>
      </c>
      <c r="Y37" s="243">
        <f>O37*SUM(Prihodi!$D$8:$D$10)</f>
        <v>0</v>
      </c>
      <c r="Z37" s="243">
        <f>P37*SUM(Prihodi!$D$20:$D$22)</f>
        <v>0</v>
      </c>
      <c r="AA37" s="243">
        <f>Q37*SUM(Prihodi!$D$11:$D$13)</f>
        <v>0</v>
      </c>
      <c r="AB37" s="243">
        <f>R37*SUM(Prihodi!$D$17:$D$19)</f>
        <v>42</v>
      </c>
      <c r="AC37" s="244">
        <f>S37*SUM(Prihodi!$D$14:$D$16)</f>
        <v>46</v>
      </c>
      <c r="AD37" s="222">
        <f t="shared" si="4"/>
        <v>88</v>
      </c>
      <c r="AE37" s="249">
        <f t="shared" si="5"/>
        <v>44.993685545267226</v>
      </c>
      <c r="AG37" s="243">
        <f>B37*SUM(Prihodi!$D$5:$D$7)</f>
        <v>0</v>
      </c>
      <c r="AH37" s="243">
        <f>C37*SUM(Prihodi!$D$2:$D$4)</f>
        <v>0</v>
      </c>
      <c r="AI37" s="243">
        <f>D37*SUM(Prihodi!$D$8:$D$10)</f>
        <v>0</v>
      </c>
      <c r="AJ37" s="243">
        <f>E37*SUM(Prihodi!$D$20:$D$22)</f>
        <v>0</v>
      </c>
      <c r="AK37" s="243">
        <f>F37*SUM(Prihodi!$D$11:$D$13)</f>
        <v>0</v>
      </c>
      <c r="AL37" s="243">
        <f>G37*SUM(Prihodi!$D$17:$D$19)</f>
        <v>21</v>
      </c>
      <c r="AM37" s="244">
        <f>H37*SUM(Prihodi!$D$14:$D$16)</f>
        <v>23</v>
      </c>
      <c r="AN37" s="222">
        <f t="shared" si="10"/>
        <v>44</v>
      </c>
      <c r="AO37" s="249">
        <f t="shared" si="6"/>
        <v>22.496842772633613</v>
      </c>
    </row>
    <row r="38" spans="1:41" x14ac:dyDescent="0.3">
      <c r="A38" s="221" t="s">
        <v>250</v>
      </c>
      <c r="B38" s="19">
        <v>1</v>
      </c>
      <c r="C38" s="19">
        <v>1</v>
      </c>
      <c r="D38" s="19"/>
      <c r="E38" s="19"/>
      <c r="F38" s="19"/>
      <c r="G38" s="19"/>
      <c r="H38" s="226"/>
      <c r="I38" s="222">
        <v>3</v>
      </c>
      <c r="J38" s="223">
        <f t="shared" si="2"/>
        <v>1.5338756435886556</v>
      </c>
      <c r="L38" s="229"/>
      <c r="M38" s="243">
        <f t="shared" si="9"/>
        <v>3</v>
      </c>
      <c r="N38" s="243">
        <f t="shared" si="9"/>
        <v>3</v>
      </c>
      <c r="O38" s="243">
        <f t="shared" si="9"/>
        <v>0</v>
      </c>
      <c r="P38" s="243">
        <f t="shared" si="9"/>
        <v>0</v>
      </c>
      <c r="Q38" s="243">
        <f t="shared" si="9"/>
        <v>0</v>
      </c>
      <c r="R38" s="243">
        <f t="shared" si="9"/>
        <v>0</v>
      </c>
      <c r="S38" s="244">
        <f t="shared" si="9"/>
        <v>0</v>
      </c>
      <c r="T38" s="222">
        <f t="shared" si="1"/>
        <v>6</v>
      </c>
      <c r="U38" s="223">
        <f t="shared" si="3"/>
        <v>3.0677512871773112</v>
      </c>
      <c r="W38" s="243">
        <f>M38*SUM(Prihodi!$D$5:$D$7)</f>
        <v>81</v>
      </c>
      <c r="X38" s="243">
        <f>N38*SUM(Prihodi!$D$2:$D$4)</f>
        <v>153</v>
      </c>
      <c r="Y38" s="243">
        <f>O38*SUM(Prihodi!$D$8:$D$10)</f>
        <v>0</v>
      </c>
      <c r="Z38" s="243">
        <f>P38*SUM(Prihodi!$D$20:$D$22)</f>
        <v>0</v>
      </c>
      <c r="AA38" s="243">
        <f>Q38*SUM(Prihodi!$D$11:$D$13)</f>
        <v>0</v>
      </c>
      <c r="AB38" s="243">
        <f>R38*SUM(Prihodi!$D$17:$D$19)</f>
        <v>0</v>
      </c>
      <c r="AC38" s="244">
        <f>S38*SUM(Prihodi!$D$14:$D$16)</f>
        <v>0</v>
      </c>
      <c r="AD38" s="222">
        <f t="shared" si="4"/>
        <v>234</v>
      </c>
      <c r="AE38" s="249">
        <f t="shared" si="5"/>
        <v>119.64230019991513</v>
      </c>
      <c r="AG38" s="243">
        <f>B38*SUM(Prihodi!$D$5:$D$7)</f>
        <v>27</v>
      </c>
      <c r="AH38" s="243">
        <f>C38*SUM(Prihodi!$D$2:$D$4)</f>
        <v>51</v>
      </c>
      <c r="AI38" s="243">
        <f>D38*SUM(Prihodi!$D$8:$D$10)</f>
        <v>0</v>
      </c>
      <c r="AJ38" s="243">
        <f>E38*SUM(Prihodi!$D$20:$D$22)</f>
        <v>0</v>
      </c>
      <c r="AK38" s="243">
        <f>F38*SUM(Prihodi!$D$11:$D$13)</f>
        <v>0</v>
      </c>
      <c r="AL38" s="243">
        <f>G38*SUM(Prihodi!$D$17:$D$19)</f>
        <v>0</v>
      </c>
      <c r="AM38" s="244">
        <f>H38*SUM(Prihodi!$D$14:$D$16)</f>
        <v>0</v>
      </c>
      <c r="AN38" s="222">
        <f t="shared" si="10"/>
        <v>78</v>
      </c>
      <c r="AO38" s="249">
        <f t="shared" si="6"/>
        <v>39.880766733305045</v>
      </c>
    </row>
    <row r="39" spans="1:41" ht="15" thickBot="1" x14ac:dyDescent="0.35">
      <c r="A39" s="221" t="s">
        <v>229</v>
      </c>
      <c r="B39" s="19">
        <v>1</v>
      </c>
      <c r="C39" s="19">
        <v>1</v>
      </c>
      <c r="D39" s="19">
        <v>1</v>
      </c>
      <c r="E39" s="19">
        <v>1</v>
      </c>
      <c r="F39" s="19">
        <v>1</v>
      </c>
      <c r="G39" s="19">
        <v>1</v>
      </c>
      <c r="H39" s="226">
        <v>1</v>
      </c>
      <c r="I39" s="224">
        <v>2</v>
      </c>
      <c r="J39" s="225">
        <f>I39/1.95583</f>
        <v>1.022583762392437</v>
      </c>
      <c r="L39" s="228" t="s">
        <v>258</v>
      </c>
      <c r="M39" s="245">
        <f t="shared" si="9"/>
        <v>2</v>
      </c>
      <c r="N39" s="245">
        <f t="shared" si="9"/>
        <v>2</v>
      </c>
      <c r="O39" s="245">
        <f t="shared" si="9"/>
        <v>2</v>
      </c>
      <c r="P39" s="245">
        <f t="shared" si="9"/>
        <v>2</v>
      </c>
      <c r="Q39" s="245">
        <f t="shared" si="9"/>
        <v>2</v>
      </c>
      <c r="R39" s="245">
        <f t="shared" si="9"/>
        <v>2</v>
      </c>
      <c r="S39" s="246">
        <f t="shared" si="9"/>
        <v>2</v>
      </c>
      <c r="T39" s="224">
        <f t="shared" si="1"/>
        <v>14</v>
      </c>
      <c r="U39" s="225">
        <f t="shared" si="3"/>
        <v>7.1580863367470586</v>
      </c>
      <c r="W39" s="245">
        <f>M39*SUM(Prihodi!$D$5:$D$7)</f>
        <v>54</v>
      </c>
      <c r="X39" s="245">
        <f>N39*SUM(Prihodi!$D$2:$D$4)</f>
        <v>102</v>
      </c>
      <c r="Y39" s="245">
        <f>O39*SUM(Prihodi!$D$8:$D$10)</f>
        <v>88</v>
      </c>
      <c r="Z39" s="245">
        <f>P39*SUM(Prihodi!$D$20:$D$22)</f>
        <v>82</v>
      </c>
      <c r="AA39" s="245">
        <f>Q39*SUM(Prihodi!$D$11:$D$13)</f>
        <v>90</v>
      </c>
      <c r="AB39" s="245">
        <f>R39*SUM(Prihodi!$D$17:$D$19)</f>
        <v>42</v>
      </c>
      <c r="AC39" s="246">
        <f>S39*SUM(Prihodi!$D$14:$D$16)</f>
        <v>46</v>
      </c>
      <c r="AD39" s="224">
        <f t="shared" si="4"/>
        <v>504</v>
      </c>
      <c r="AE39" s="250">
        <f t="shared" si="5"/>
        <v>257.69110812289415</v>
      </c>
      <c r="AG39" s="245">
        <f>B39*SUM(Prihodi!$D$5:$D$7)</f>
        <v>27</v>
      </c>
      <c r="AH39" s="245">
        <f>C39*SUM(Prihodi!$D$2:$D$4)</f>
        <v>51</v>
      </c>
      <c r="AI39" s="245">
        <f>D39*SUM(Prihodi!$D$8:$D$10)</f>
        <v>44</v>
      </c>
      <c r="AJ39" s="245">
        <f>E39*SUM(Prihodi!$D$20:$D$22)</f>
        <v>41</v>
      </c>
      <c r="AK39" s="245">
        <f>F39*SUM(Prihodi!$D$11:$D$13)</f>
        <v>45</v>
      </c>
      <c r="AL39" s="245">
        <f>G39*SUM(Prihodi!$D$17:$D$19)</f>
        <v>21</v>
      </c>
      <c r="AM39" s="246">
        <f>H39*SUM(Prihodi!$D$14:$D$16)</f>
        <v>23</v>
      </c>
      <c r="AN39" s="224">
        <f t="shared" si="10"/>
        <v>252</v>
      </c>
      <c r="AO39" s="250">
        <f t="shared" si="6"/>
        <v>128.84555406144707</v>
      </c>
    </row>
    <row r="40" spans="1:41" ht="15" thickBot="1" x14ac:dyDescent="0.35">
      <c r="A40" s="108"/>
      <c r="B40" s="108"/>
      <c r="C40" s="108"/>
      <c r="D40" s="108"/>
      <c r="E40" s="108"/>
      <c r="F40" s="108"/>
      <c r="G40" s="108"/>
      <c r="H40" s="108"/>
      <c r="M40" s="232">
        <f>SUM(M2:M39)</f>
        <v>32.025833333333338</v>
      </c>
      <c r="N40" s="233">
        <f t="shared" ref="N40:R40" si="11">SUM(N2:N39)</f>
        <v>32.602546296296296</v>
      </c>
      <c r="O40" s="233">
        <f t="shared" si="11"/>
        <v>35.96</v>
      </c>
      <c r="P40" s="233">
        <f t="shared" si="11"/>
        <v>34.183796296296293</v>
      </c>
      <c r="Q40" s="233">
        <f t="shared" si="11"/>
        <v>28.837499999999999</v>
      </c>
      <c r="R40" s="233">
        <f t="shared" si="11"/>
        <v>31.206250000000001</v>
      </c>
      <c r="S40" s="233">
        <f>SUM(S2:S39)</f>
        <v>29.445833333333333</v>
      </c>
      <c r="T40" s="233">
        <f>SUM(T2:T39)</f>
        <v>224.26175925925926</v>
      </c>
      <c r="U40" s="234">
        <f t="shared" si="3"/>
        <v>114.66321677204014</v>
      </c>
      <c r="V40" s="109"/>
      <c r="W40" s="251">
        <f>SUM(W2:W39)</f>
        <v>864.69749999999999</v>
      </c>
      <c r="X40" s="252">
        <f t="shared" ref="X40:AC40" si="12">SUM(X2:X39)</f>
        <v>1662.7298611111109</v>
      </c>
      <c r="Y40" s="252">
        <f t="shared" si="12"/>
        <v>1582.24</v>
      </c>
      <c r="Z40" s="252">
        <f t="shared" si="12"/>
        <v>1401.5356481481483</v>
      </c>
      <c r="AA40" s="252">
        <f t="shared" si="12"/>
        <v>1297.6875</v>
      </c>
      <c r="AB40" s="252">
        <f t="shared" si="12"/>
        <v>655.33125000000007</v>
      </c>
      <c r="AC40" s="252">
        <f t="shared" si="12"/>
        <v>677.25416666666661</v>
      </c>
      <c r="AD40" s="233">
        <f>SUM(AD2:AD39)</f>
        <v>8141.4759259259245</v>
      </c>
      <c r="AE40" s="253">
        <f t="shared" si="5"/>
        <v>4162.6705418803904</v>
      </c>
      <c r="AG40" s="257">
        <f>SUM(AG2:AG39)</f>
        <v>1966.9500000000003</v>
      </c>
      <c r="AH40" s="258">
        <f t="shared" ref="AH40:AM40" si="13">SUM(AH2:AH39)</f>
        <v>1032.75</v>
      </c>
      <c r="AI40" s="258">
        <f t="shared" si="13"/>
        <v>1577.4</v>
      </c>
      <c r="AJ40" s="258">
        <f t="shared" si="13"/>
        <v>840.50000000000011</v>
      </c>
      <c r="AK40" s="258">
        <f t="shared" si="13"/>
        <v>1161</v>
      </c>
      <c r="AL40" s="258">
        <f t="shared" si="13"/>
        <v>516.6</v>
      </c>
      <c r="AM40" s="258">
        <f t="shared" si="13"/>
        <v>579.6</v>
      </c>
      <c r="AN40" s="259">
        <f>SUM(AN2:AN39)</f>
        <v>4917.0560000000005</v>
      </c>
      <c r="AO40" s="260">
        <f t="shared" si="6"/>
        <v>2514.0508121871535</v>
      </c>
    </row>
    <row r="41" spans="1:41" x14ac:dyDescent="0.3">
      <c r="A41" s="108"/>
      <c r="B41" s="108"/>
      <c r="C41" s="108"/>
      <c r="D41" s="108"/>
      <c r="E41" s="108"/>
      <c r="F41" s="108"/>
      <c r="G41" s="108"/>
      <c r="H41" s="108"/>
      <c r="M41" s="235">
        <f>M40*3</f>
        <v>96.077500000000015</v>
      </c>
      <c r="N41" s="236">
        <f t="shared" ref="N41:S41" si="14">N40*3</f>
        <v>97.807638888888889</v>
      </c>
      <c r="O41" s="236">
        <f t="shared" si="14"/>
        <v>107.88</v>
      </c>
      <c r="P41" s="236">
        <f t="shared" si="14"/>
        <v>102.55138888888888</v>
      </c>
      <c r="Q41" s="236">
        <f t="shared" si="14"/>
        <v>86.512499999999989</v>
      </c>
      <c r="R41" s="236">
        <f t="shared" si="14"/>
        <v>93.618750000000006</v>
      </c>
      <c r="S41" s="236">
        <f t="shared" si="14"/>
        <v>88.337500000000006</v>
      </c>
      <c r="T41" s="237">
        <v>7</v>
      </c>
      <c r="U41" s="223">
        <v>7</v>
      </c>
      <c r="V41" s="115"/>
      <c r="W41" s="235">
        <f>M41*45</f>
        <v>4323.4875000000011</v>
      </c>
      <c r="X41" s="236">
        <f>N41*77</f>
        <v>7531.188194444444</v>
      </c>
      <c r="Y41" s="236">
        <f>O41*70</f>
        <v>7551.5999999999995</v>
      </c>
      <c r="Z41" s="236">
        <f>P41*60</f>
        <v>6153.083333333333</v>
      </c>
      <c r="AA41" s="236">
        <f>Q41*60</f>
        <v>5190.7499999999991</v>
      </c>
      <c r="AB41" s="236">
        <f>R41*77</f>
        <v>7208.6437500000002</v>
      </c>
      <c r="AC41" s="236">
        <f>S41*77</f>
        <v>6801.9875000000002</v>
      </c>
      <c r="AD41" s="237">
        <v>7</v>
      </c>
      <c r="AE41" s="249">
        <f t="shared" si="5"/>
        <v>3.5790431683735293</v>
      </c>
      <c r="AN41" s="109"/>
    </row>
    <row r="42" spans="1:41" x14ac:dyDescent="0.3">
      <c r="M42" s="282">
        <f>M40/1.95583</f>
        <v>16.374548571876563</v>
      </c>
      <c r="N42" s="236">
        <f t="shared" ref="N42:S42" si="15">N40/1.95583</f>
        <v>16.669417227620141</v>
      </c>
      <c r="O42" s="236">
        <f t="shared" si="15"/>
        <v>18.386056047816016</v>
      </c>
      <c r="P42" s="236">
        <f t="shared" si="15"/>
        <v>17.477897514761658</v>
      </c>
      <c r="Q42" s="236">
        <f t="shared" si="15"/>
        <v>14.74437962399595</v>
      </c>
      <c r="R42" s="236">
        <f t="shared" si="15"/>
        <v>15.955502267579494</v>
      </c>
      <c r="S42" s="236">
        <f t="shared" si="15"/>
        <v>15.055415518390317</v>
      </c>
      <c r="T42" s="237">
        <v>7</v>
      </c>
      <c r="U42" s="223">
        <v>7</v>
      </c>
      <c r="V42" s="115" t="s">
        <v>251</v>
      </c>
      <c r="W42" s="236">
        <f>M42*SUM(Prihodi!$D$5:$D$7)</f>
        <v>442.1128114406672</v>
      </c>
      <c r="X42" s="236">
        <f>N42*SUM(Prihodi!$D$2:$D$4)</f>
        <v>850.14027860862723</v>
      </c>
      <c r="Y42" s="236">
        <f>O42*SUM(Prihodi!$D$8:$D$10)</f>
        <v>808.98646610390472</v>
      </c>
      <c r="Z42" s="236">
        <f>P42*SUM(Prihodi!$D$20:$D$22)</f>
        <v>716.59379810522796</v>
      </c>
      <c r="AA42" s="236">
        <f>Q42*SUM(Prihodi!$D$11:$D$13)</f>
        <v>663.4970830798178</v>
      </c>
      <c r="AB42" s="236">
        <f>R42*SUM(Prihodi!$D$17:$D$19)</f>
        <v>335.06554761916937</v>
      </c>
      <c r="AC42" s="236">
        <f>S42*SUM(Prihodi!$D$14:$D$16)</f>
        <v>346.2745569229773</v>
      </c>
      <c r="AN42" s="109"/>
    </row>
    <row r="43" spans="1:41" ht="15" thickBot="1" x14ac:dyDescent="0.35">
      <c r="L43" s="115" t="s">
        <v>251</v>
      </c>
      <c r="M43" s="238">
        <f>M41/1.95583</f>
        <v>49.123645715629692</v>
      </c>
      <c r="N43" s="239">
        <f t="shared" ref="N43:S43" si="16">N41/1.95583</f>
        <v>50.008251682860418</v>
      </c>
      <c r="O43" s="239">
        <f t="shared" si="16"/>
        <v>55.158168143448052</v>
      </c>
      <c r="P43" s="239">
        <f t="shared" si="16"/>
        <v>52.433692544284973</v>
      </c>
      <c r="Q43" s="239">
        <f t="shared" si="16"/>
        <v>44.233138871987848</v>
      </c>
      <c r="R43" s="239">
        <f t="shared" si="16"/>
        <v>47.866506802738485</v>
      </c>
      <c r="S43" s="239">
        <f t="shared" si="16"/>
        <v>45.166246555170957</v>
      </c>
      <c r="T43" s="240">
        <f>T40/T41</f>
        <v>32.037394179894179</v>
      </c>
      <c r="U43" s="241">
        <f>U40/U41</f>
        <v>16.380459538862876</v>
      </c>
      <c r="V43" s="115"/>
      <c r="W43" s="283">
        <f>M43*SUM(Prihodi!$D$5:$D$7)</f>
        <v>1326.3384343220016</v>
      </c>
      <c r="X43" s="284">
        <f>N43*SUM(Prihodi!$D$2:$D$4)</f>
        <v>2550.4208358258811</v>
      </c>
      <c r="Y43" s="284">
        <f>O43*SUM(Prihodi!$D$8:$D$10)</f>
        <v>2426.9593983117143</v>
      </c>
      <c r="Z43" s="284">
        <f>P43*SUM(Prihodi!$D$20:$D$22)</f>
        <v>2149.7813943156839</v>
      </c>
      <c r="AA43" s="284">
        <f>Q43*SUM(Prihodi!$D$11:$D$13)</f>
        <v>1990.4912492394531</v>
      </c>
      <c r="AB43" s="284">
        <f>R43*SUM(Prihodi!$D$17:$D$19)</f>
        <v>1005.1966428575082</v>
      </c>
      <c r="AC43" s="284">
        <f>S43*SUM(Prihodi!$D$14:$D$16)</f>
        <v>1038.8236707689321</v>
      </c>
      <c r="AD43" s="254">
        <f>AD40/AD41</f>
        <v>1163.0679894179891</v>
      </c>
      <c r="AE43" s="250">
        <f>AD43/1.95583</f>
        <v>594.66722026862715</v>
      </c>
      <c r="AG43"/>
      <c r="AH43"/>
      <c r="AI43"/>
      <c r="AJ43"/>
      <c r="AK43"/>
      <c r="AL43"/>
      <c r="AM43"/>
      <c r="AN43"/>
      <c r="AO43"/>
    </row>
    <row r="44" spans="1:41" x14ac:dyDescent="0.3">
      <c r="L44" s="115" t="s">
        <v>253</v>
      </c>
      <c r="M44" s="109">
        <f t="shared" ref="M44:S44" si="17">M43-M43*10/100</f>
        <v>44.211281144066724</v>
      </c>
      <c r="N44" s="109">
        <f t="shared" si="17"/>
        <v>45.007426514574377</v>
      </c>
      <c r="O44" s="109">
        <f t="shared" si="17"/>
        <v>49.642351329103249</v>
      </c>
      <c r="P44" s="109">
        <f t="shared" si="17"/>
        <v>47.19032328985648</v>
      </c>
      <c r="Q44" s="109">
        <f t="shared" si="17"/>
        <v>39.80982498478906</v>
      </c>
      <c r="R44" s="109">
        <f t="shared" si="17"/>
        <v>43.079856122464633</v>
      </c>
      <c r="S44" s="109">
        <f t="shared" si="17"/>
        <v>40.649621899653859</v>
      </c>
      <c r="U44" s="108"/>
      <c r="V44" s="108"/>
      <c r="W44" s="109">
        <f>SUM(W42:AC42)</f>
        <v>4162.6705418803913</v>
      </c>
      <c r="X44" s="274">
        <f>W44*12</f>
        <v>49952.046502564699</v>
      </c>
      <c r="AF44" s="108"/>
      <c r="AG44"/>
      <c r="AH44"/>
      <c r="AI44"/>
      <c r="AJ44"/>
      <c r="AK44"/>
      <c r="AL44"/>
      <c r="AM44"/>
      <c r="AN44"/>
      <c r="AO44"/>
    </row>
    <row r="45" spans="1:41" x14ac:dyDescent="0.3">
      <c r="L45" s="115" t="s">
        <v>254</v>
      </c>
      <c r="M45" s="109">
        <f t="shared" ref="M45:S45" si="18">M43+M43*10/100</f>
        <v>54.03601028719266</v>
      </c>
      <c r="N45" s="109">
        <f t="shared" si="18"/>
        <v>55.00907685114646</v>
      </c>
      <c r="O45" s="109">
        <f t="shared" si="18"/>
        <v>60.673984957792854</v>
      </c>
      <c r="P45" s="109">
        <f t="shared" si="18"/>
        <v>57.677061798713467</v>
      </c>
      <c r="Q45" s="109">
        <f t="shared" si="18"/>
        <v>48.656452759186635</v>
      </c>
      <c r="R45" s="109">
        <f t="shared" si="18"/>
        <v>52.653157483012336</v>
      </c>
      <c r="S45" s="109">
        <f t="shared" si="18"/>
        <v>49.682871210688056</v>
      </c>
      <c r="U45" s="108"/>
      <c r="W45"/>
      <c r="X45"/>
      <c r="Y45"/>
      <c r="Z45"/>
      <c r="AA45"/>
      <c r="AB45"/>
      <c r="AC45"/>
      <c r="AD45"/>
      <c r="AG45"/>
      <c r="AH45"/>
      <c r="AI45"/>
      <c r="AJ45"/>
      <c r="AK45"/>
      <c r="AL45"/>
      <c r="AM45"/>
      <c r="AN45"/>
      <c r="AO45"/>
    </row>
    <row r="46" spans="1:41" x14ac:dyDescent="0.3">
      <c r="W46"/>
      <c r="X46"/>
      <c r="Y46"/>
      <c r="Z46"/>
      <c r="AA46"/>
      <c r="AB46"/>
      <c r="AC46"/>
      <c r="AD46"/>
      <c r="AG46"/>
      <c r="AH46"/>
      <c r="AI46"/>
      <c r="AJ46"/>
      <c r="AK46"/>
      <c r="AL46"/>
      <c r="AM46"/>
      <c r="AN46"/>
      <c r="AO46"/>
    </row>
    <row r="47" spans="1:41" x14ac:dyDescent="0.3">
      <c r="W47"/>
      <c r="X47"/>
      <c r="Y47"/>
      <c r="Z47"/>
      <c r="AA47"/>
      <c r="AB47"/>
      <c r="AC47"/>
      <c r="AD47"/>
      <c r="AG47"/>
      <c r="AH47"/>
      <c r="AI47"/>
      <c r="AJ47"/>
      <c r="AK47"/>
      <c r="AL47"/>
      <c r="AM47"/>
      <c r="AN47"/>
      <c r="AO47"/>
    </row>
    <row r="48" spans="1:41" x14ac:dyDescent="0.3">
      <c r="W48"/>
      <c r="X48"/>
      <c r="Y48"/>
      <c r="Z48"/>
      <c r="AA48"/>
      <c r="AB48"/>
      <c r="AC48"/>
      <c r="AD48"/>
      <c r="AG48"/>
      <c r="AH48"/>
      <c r="AI48"/>
      <c r="AJ48"/>
      <c r="AK48"/>
      <c r="AL48"/>
      <c r="AM48"/>
      <c r="AN48"/>
      <c r="AO48"/>
    </row>
    <row r="49" spans="22:41" x14ac:dyDescent="0.3">
      <c r="V49" s="108"/>
      <c r="W49" s="108"/>
      <c r="X49" s="108"/>
      <c r="Y49" s="108"/>
      <c r="Z49" s="108"/>
      <c r="AA49" s="108"/>
      <c r="AB49" s="108"/>
      <c r="AC49" s="108"/>
      <c r="AG49"/>
      <c r="AH49"/>
      <c r="AI49"/>
      <c r="AJ49"/>
      <c r="AK49"/>
      <c r="AL49"/>
      <c r="AM49"/>
      <c r="AN49"/>
      <c r="AO49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3A027-B8AF-4C6E-A655-4261470ED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12</vt:i4>
      </vt:variant>
    </vt:vector>
  </HeadingPairs>
  <TitlesOfParts>
    <vt:vector size="12" baseType="lpstr">
      <vt:lpstr>Inv</vt:lpstr>
      <vt:lpstr>In + Am</vt:lpstr>
      <vt:lpstr>Namirnice</vt:lpstr>
      <vt:lpstr>Prihodi</vt:lpstr>
      <vt:lpstr>Kredit</vt:lpstr>
      <vt:lpstr>Rashodi</vt:lpstr>
      <vt:lpstr>TOBS</vt:lpstr>
      <vt:lpstr>RDG</vt:lpstr>
      <vt:lpstr>ET i EF</vt:lpstr>
      <vt:lpstr>Statistička Ocjena</vt:lpstr>
      <vt:lpstr>namirnice i izračun za suhe kol</vt:lpstr>
      <vt:lpstr>namirnice i izračun za torte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Korisnik</cp:lastModifiedBy>
  <dcterms:created xsi:type="dcterms:W3CDTF">2015-06-05T18:17:20Z</dcterms:created>
  <dcterms:modified xsi:type="dcterms:W3CDTF">2023-06-12T06:39:56Z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db9e61-aac5-4f6e-805d-ceb8cb9983a1_Enabled">
    <vt:lpwstr>true</vt:lpwstr>
  </property>
  <property fmtid="{D5CDD505-2E9C-101B-9397-08002B2CF9AE}" pid="3" name="MSIP_Label_29db9e61-aac5-4f6e-805d-ceb8cb9983a1_SetDate">
    <vt:lpwstr>2023-05-19T09:52:04Z</vt:lpwstr>
  </property>
  <property fmtid="{D5CDD505-2E9C-101B-9397-08002B2CF9AE}" pid="4" name="MSIP_Label_29db9e61-aac5-4f6e-805d-ceb8cb9983a1_Method">
    <vt:lpwstr>Standard</vt:lpwstr>
  </property>
  <property fmtid="{D5CDD505-2E9C-101B-9397-08002B2CF9AE}" pid="5" name="MSIP_Label_29db9e61-aac5-4f6e-805d-ceb8cb9983a1_Name">
    <vt:lpwstr>UniCredit - Internal Use Only - no visual markings</vt:lpwstr>
  </property>
  <property fmtid="{D5CDD505-2E9C-101B-9397-08002B2CF9AE}" pid="6" name="MSIP_Label_29db9e61-aac5-4f6e-805d-ceb8cb9983a1_SiteId">
    <vt:lpwstr>2cc49ce9-66a1-41ac-a96b-bdc54247696a</vt:lpwstr>
  </property>
  <property fmtid="{D5CDD505-2E9C-101B-9397-08002B2CF9AE}" pid="7" name="MSIP_Label_29db9e61-aac5-4f6e-805d-ceb8cb9983a1_ActionId">
    <vt:lpwstr>2c36dba4-ac8c-42d3-8f4e-57861ff4e54a</vt:lpwstr>
  </property>
  <property fmtid="{D5CDD505-2E9C-101B-9397-08002B2CF9AE}" pid="8" name="MSIP_Label_29db9e61-aac5-4f6e-805d-ceb8cb9983a1_ContentBits">
    <vt:lpwstr>0</vt:lpwstr>
  </property>
</Properties>
</file>