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hidePivotFieldList="1"/>
  <mc:AlternateContent xmlns:mc="http://schemas.openxmlformats.org/markup-compatibility/2006">
    <mc:Choice Requires="x15">
      <x15ac:absPath xmlns:x15ac="http://schemas.microsoft.com/office/spreadsheetml/2010/11/ac" url="/Users/federicoiuliano/Desktop/"/>
    </mc:Choice>
  </mc:AlternateContent>
  <xr:revisionPtr revIDLastSave="0" documentId="13_ncr:1_{026B553C-39AD-8547-9B9F-57EB125ACB7C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Financials" sheetId="1" r:id="rId1"/>
    <sheet name="DCF" sheetId="2" r:id="rId2"/>
    <sheet name="Net Working Capital" sheetId="6" r:id="rId3"/>
    <sheet name="WACC" sheetId="3" r:id="rId4"/>
    <sheet name="Assumption 1" sheetId="4" r:id="rId5"/>
    <sheet name="Assumption 2" sheetId="5" r:id="rId6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N50" i="2"/>
  <c r="N62" i="2"/>
  <c r="N58" i="2"/>
  <c r="N61" i="2"/>
  <c r="G23" i="3" l="1"/>
  <c r="H33" i="3"/>
  <c r="H34" i="3" s="1"/>
  <c r="H31" i="3"/>
  <c r="H30" i="3" s="1"/>
  <c r="L29" i="3"/>
  <c r="M29" i="3" s="1"/>
  <c r="J29" i="3"/>
  <c r="I29" i="3" s="1"/>
  <c r="N47" i="2" l="1"/>
  <c r="N44" i="2"/>
  <c r="N37" i="2"/>
  <c r="O13" i="2" l="1"/>
  <c r="P13" i="2"/>
  <c r="N13" i="2"/>
  <c r="O8" i="2"/>
  <c r="P8" i="2"/>
  <c r="N8" i="2"/>
  <c r="C18" i="2" s="1"/>
  <c r="H20" i="4"/>
  <c r="G20" i="4"/>
  <c r="F20" i="4"/>
  <c r="F19" i="4" s="1"/>
  <c r="H14" i="2" s="1"/>
  <c r="E20" i="4"/>
  <c r="E19" i="4" s="1"/>
  <c r="G14" i="2" s="1"/>
  <c r="D20" i="4"/>
  <c r="D19" i="4" s="1"/>
  <c r="F14" i="2" s="1"/>
  <c r="F14" i="4"/>
  <c r="G14" i="4"/>
  <c r="H14" i="4"/>
  <c r="E14" i="4"/>
  <c r="D14" i="4"/>
  <c r="H13" i="4"/>
  <c r="J10" i="2" s="1"/>
  <c r="R25" i="1"/>
  <c r="S25" i="1"/>
  <c r="Q25" i="1"/>
  <c r="D12" i="2"/>
  <c r="E12" i="2"/>
  <c r="C12" i="2"/>
  <c r="R24" i="1"/>
  <c r="S24" i="1"/>
  <c r="T24" i="1" s="1"/>
  <c r="Q24" i="1"/>
  <c r="T23" i="1"/>
  <c r="T25" i="1"/>
  <c r="T22" i="1"/>
  <c r="R23" i="1"/>
  <c r="S23" i="1"/>
  <c r="Q23" i="1"/>
  <c r="R22" i="1"/>
  <c r="S22" i="1"/>
  <c r="Q22" i="1"/>
  <c r="G19" i="4"/>
  <c r="I14" i="2" s="1"/>
  <c r="H19" i="4"/>
  <c r="J14" i="2" s="1"/>
  <c r="D13" i="4"/>
  <c r="F10" i="2" s="1"/>
  <c r="E13" i="4"/>
  <c r="G10" i="2" s="1"/>
  <c r="F13" i="4"/>
  <c r="H10" i="2" s="1"/>
  <c r="G13" i="4"/>
  <c r="I10" i="2" s="1"/>
  <c r="F7" i="4"/>
  <c r="H7" i="2" s="1"/>
  <c r="G7" i="4"/>
  <c r="I7" i="2" s="1"/>
  <c r="H7" i="4"/>
  <c r="J7" i="2" s="1"/>
  <c r="E7" i="4"/>
  <c r="G7" i="2" s="1"/>
  <c r="D7" i="4"/>
  <c r="F7" i="2" s="1"/>
  <c r="D18" i="2" l="1"/>
  <c r="E18" i="2"/>
  <c r="C12" i="3" l="1"/>
  <c r="C13" i="3" s="1"/>
  <c r="H21" i="3"/>
  <c r="I21" i="3"/>
  <c r="G21" i="3"/>
  <c r="C6" i="3"/>
  <c r="C7" i="3" s="1"/>
  <c r="H14" i="3"/>
  <c r="H13" i="3"/>
  <c r="I13" i="3"/>
  <c r="G24" i="3" s="1"/>
  <c r="I14" i="3"/>
  <c r="K8" i="3"/>
  <c r="K9" i="3"/>
  <c r="K10" i="3"/>
  <c r="K7" i="3"/>
  <c r="C8" i="3" l="1"/>
  <c r="J18" i="3"/>
  <c r="I18" i="3"/>
  <c r="K13" i="3"/>
  <c r="H18" i="3" s="1"/>
  <c r="K14" i="3"/>
  <c r="K18" i="3" l="1"/>
  <c r="C19" i="3" l="1"/>
  <c r="C21" i="3" s="1"/>
  <c r="C23" i="3" s="1"/>
  <c r="H29" i="3" l="1"/>
  <c r="N30" i="2"/>
  <c r="I24" i="2"/>
  <c r="H24" i="2"/>
  <c r="C43" i="2"/>
  <c r="C45" i="2" s="1"/>
  <c r="G24" i="2"/>
  <c r="J24" i="2" l="1"/>
  <c r="C47" i="2" s="1"/>
  <c r="F24" i="2"/>
  <c r="C35" i="2"/>
  <c r="O42" i="6"/>
  <c r="O34" i="6"/>
  <c r="O20" i="6"/>
  <c r="O11" i="6"/>
  <c r="D14" i="6"/>
  <c r="D10" i="6"/>
  <c r="D15" i="6"/>
  <c r="D16" i="6"/>
  <c r="E10" i="6"/>
  <c r="D9" i="6"/>
  <c r="D8" i="6"/>
  <c r="D5" i="6"/>
  <c r="D4" i="6"/>
  <c r="C19" i="2"/>
  <c r="C15" i="2"/>
  <c r="D42" i="6" l="1"/>
  <c r="D41" i="6"/>
  <c r="D11" i="6"/>
  <c r="D40" i="6"/>
  <c r="D31" i="6"/>
  <c r="D26" i="6"/>
  <c r="D32" i="6"/>
  <c r="D28" i="6"/>
  <c r="D33" i="6"/>
  <c r="D27" i="6"/>
  <c r="D17" i="6"/>
  <c r="D19" i="6" s="1"/>
  <c r="C11" i="2"/>
  <c r="C6" i="2"/>
  <c r="C8" i="2"/>
  <c r="Q18" i="1"/>
  <c r="Q16" i="1"/>
  <c r="Q14" i="1"/>
  <c r="Q10" i="1"/>
  <c r="Q9" i="1"/>
  <c r="Q5" i="1"/>
  <c r="F46" i="1"/>
  <c r="F45" i="1"/>
  <c r="F38" i="1"/>
  <c r="F31" i="1"/>
  <c r="F20" i="1"/>
  <c r="F19" i="1"/>
  <c r="F11" i="1"/>
  <c r="E19" i="2"/>
  <c r="D19" i="2"/>
  <c r="E15" i="2"/>
  <c r="D15" i="2"/>
  <c r="E11" i="2"/>
  <c r="D11" i="2"/>
  <c r="F16" i="6"/>
  <c r="E16" i="6"/>
  <c r="E42" i="6" s="1"/>
  <c r="E15" i="6"/>
  <c r="E41" i="6" s="1"/>
  <c r="F15" i="6"/>
  <c r="F14" i="6"/>
  <c r="F10" i="6"/>
  <c r="F40" i="6" s="1"/>
  <c r="E9" i="6"/>
  <c r="Q42" i="6"/>
  <c r="P42" i="6"/>
  <c r="Q34" i="6"/>
  <c r="P34" i="6"/>
  <c r="E14" i="6"/>
  <c r="F8" i="6"/>
  <c r="E8" i="6"/>
  <c r="P20" i="6"/>
  <c r="Q20" i="6"/>
  <c r="Q11" i="6"/>
  <c r="P11" i="6"/>
  <c r="G46" i="1"/>
  <c r="G45" i="1"/>
  <c r="G38" i="1"/>
  <c r="G31" i="1"/>
  <c r="G19" i="1"/>
  <c r="G11" i="1"/>
  <c r="G20" i="1" s="1"/>
  <c r="F9" i="6"/>
  <c r="E9" i="2"/>
  <c r="E13" i="2" s="1"/>
  <c r="P22" i="2" s="1"/>
  <c r="D9" i="2"/>
  <c r="D13" i="2" s="1"/>
  <c r="O22" i="2" s="1"/>
  <c r="H45" i="1"/>
  <c r="H38" i="1"/>
  <c r="H31" i="1"/>
  <c r="H19" i="1"/>
  <c r="H11" i="1"/>
  <c r="F5" i="6"/>
  <c r="E5" i="6"/>
  <c r="F4" i="6"/>
  <c r="E4" i="6"/>
  <c r="E40" i="6" s="1"/>
  <c r="E8" i="2"/>
  <c r="D8" i="2"/>
  <c r="E6" i="2"/>
  <c r="D6" i="2"/>
  <c r="S14" i="1"/>
  <c r="S9" i="1"/>
  <c r="S5" i="1"/>
  <c r="R14" i="1"/>
  <c r="R9" i="1"/>
  <c r="R5" i="1"/>
  <c r="R10" i="1" s="1"/>
  <c r="R16" i="1" s="1"/>
  <c r="R18" i="1" s="1"/>
  <c r="F41" i="6" l="1"/>
  <c r="G40" i="6"/>
  <c r="G41" i="6"/>
  <c r="F42" i="6"/>
  <c r="G42" i="6" s="1"/>
  <c r="E27" i="6"/>
  <c r="D37" i="6" s="1"/>
  <c r="O17" i="2"/>
  <c r="O19" i="2"/>
  <c r="F6" i="2"/>
  <c r="G6" i="2" s="1"/>
  <c r="P17" i="2"/>
  <c r="P19" i="2"/>
  <c r="N17" i="2"/>
  <c r="Q17" i="2" s="1"/>
  <c r="N19" i="2"/>
  <c r="Q19" i="2" s="1"/>
  <c r="D10" i="2"/>
  <c r="E11" i="6"/>
  <c r="E26" i="6"/>
  <c r="D36" i="6" s="1"/>
  <c r="F27" i="6"/>
  <c r="F26" i="6"/>
  <c r="F31" i="6"/>
  <c r="D38" i="6" s="1"/>
  <c r="E33" i="6"/>
  <c r="E28" i="6"/>
  <c r="E32" i="6"/>
  <c r="E31" i="6"/>
  <c r="F28" i="6"/>
  <c r="F32" i="6"/>
  <c r="F33" i="6"/>
  <c r="D14" i="2"/>
  <c r="E10" i="2"/>
  <c r="E7" i="2"/>
  <c r="D7" i="2"/>
  <c r="C9" i="2"/>
  <c r="C13" i="2" s="1"/>
  <c r="N22" i="2" s="1"/>
  <c r="E16" i="2"/>
  <c r="S26" i="1" s="1"/>
  <c r="E14" i="2"/>
  <c r="F17" i="6"/>
  <c r="E17" i="6"/>
  <c r="E19" i="6"/>
  <c r="E20" i="6" s="1"/>
  <c r="D20" i="2" s="1"/>
  <c r="F11" i="6"/>
  <c r="H46" i="1"/>
  <c r="H20" i="1"/>
  <c r="S10" i="1"/>
  <c r="S16" i="1" s="1"/>
  <c r="S18" i="1" s="1"/>
  <c r="E8" i="5" l="1"/>
  <c r="E7" i="5" s="1"/>
  <c r="H26" i="6" s="1"/>
  <c r="H8" i="5"/>
  <c r="H7" i="5" s="1"/>
  <c r="K26" i="6" s="1"/>
  <c r="F8" i="5"/>
  <c r="F7" i="5" s="1"/>
  <c r="I26" i="6" s="1"/>
  <c r="G8" i="5"/>
  <c r="G7" i="5" s="1"/>
  <c r="J26" i="6" s="1"/>
  <c r="D8" i="5"/>
  <c r="D7" i="5" s="1"/>
  <c r="G26" i="6" s="1"/>
  <c r="D14" i="5"/>
  <c r="D13" i="5" s="1"/>
  <c r="G27" i="6" s="1"/>
  <c r="F14" i="5"/>
  <c r="F13" i="5" s="1"/>
  <c r="I27" i="6" s="1"/>
  <c r="H14" i="5"/>
  <c r="H13" i="5" s="1"/>
  <c r="K27" i="6" s="1"/>
  <c r="E14" i="5"/>
  <c r="E13" i="5" s="1"/>
  <c r="H27" i="6" s="1"/>
  <c r="G14" i="5"/>
  <c r="G13" i="5" s="1"/>
  <c r="J27" i="6" s="1"/>
  <c r="G27" i="5"/>
  <c r="G26" i="5" s="1"/>
  <c r="J31" i="6" s="1"/>
  <c r="F27" i="5"/>
  <c r="F26" i="5" s="1"/>
  <c r="I31" i="6" s="1"/>
  <c r="D27" i="5"/>
  <c r="D26" i="5" s="1"/>
  <c r="G31" i="6" s="1"/>
  <c r="E27" i="5"/>
  <c r="E26" i="5" s="1"/>
  <c r="H31" i="6" s="1"/>
  <c r="H27" i="5"/>
  <c r="H26" i="5" s="1"/>
  <c r="K31" i="6" s="1"/>
  <c r="H36" i="5"/>
  <c r="F34" i="5"/>
  <c r="G34" i="5"/>
  <c r="H35" i="5"/>
  <c r="E34" i="5"/>
  <c r="H33" i="5"/>
  <c r="H32" i="5" s="1"/>
  <c r="K32" i="6" s="1"/>
  <c r="E35" i="5"/>
  <c r="E36" i="5"/>
  <c r="D36" i="5"/>
  <c r="G35" i="5"/>
  <c r="D34" i="5"/>
  <c r="F35" i="5"/>
  <c r="G36" i="5"/>
  <c r="G33" i="5"/>
  <c r="G32" i="5" s="1"/>
  <c r="J32" i="6" s="1"/>
  <c r="H34" i="5"/>
  <c r="F36" i="5"/>
  <c r="D35" i="5"/>
  <c r="F33" i="5"/>
  <c r="F32" i="5" s="1"/>
  <c r="I32" i="6" s="1"/>
  <c r="E33" i="5"/>
  <c r="E32" i="5" s="1"/>
  <c r="H32" i="6" s="1"/>
  <c r="D33" i="5"/>
  <c r="D32" i="5" s="1"/>
  <c r="G32" i="6" s="1"/>
  <c r="D42" i="5"/>
  <c r="E41" i="5"/>
  <c r="G39" i="5"/>
  <c r="G38" i="5" s="1"/>
  <c r="J33" i="6" s="1"/>
  <c r="H40" i="5"/>
  <c r="E42" i="5"/>
  <c r="D41" i="5"/>
  <c r="F39" i="5"/>
  <c r="F38" i="5" s="1"/>
  <c r="I33" i="6" s="1"/>
  <c r="G42" i="5"/>
  <c r="D39" i="5"/>
  <c r="D38" i="5" s="1"/>
  <c r="G33" i="6" s="1"/>
  <c r="F40" i="5"/>
  <c r="F42" i="5"/>
  <c r="D40" i="5"/>
  <c r="E39" i="5"/>
  <c r="E38" i="5" s="1"/>
  <c r="H33" i="6" s="1"/>
  <c r="E40" i="5"/>
  <c r="H42" i="5"/>
  <c r="H39" i="5"/>
  <c r="H38" i="5" s="1"/>
  <c r="K33" i="6" s="1"/>
  <c r="H41" i="5"/>
  <c r="G40" i="5"/>
  <c r="G41" i="5"/>
  <c r="F41" i="5"/>
  <c r="H23" i="5"/>
  <c r="E22" i="5"/>
  <c r="G20" i="5"/>
  <c r="G19" i="5" s="1"/>
  <c r="J28" i="6" s="1"/>
  <c r="G23" i="5"/>
  <c r="D22" i="5"/>
  <c r="F20" i="5"/>
  <c r="F19" i="5" s="1"/>
  <c r="I28" i="6" s="1"/>
  <c r="D20" i="5"/>
  <c r="D19" i="5" s="1"/>
  <c r="G28" i="6" s="1"/>
  <c r="G10" i="6" s="1"/>
  <c r="D23" i="5"/>
  <c r="F22" i="5"/>
  <c r="F23" i="5"/>
  <c r="H21" i="5"/>
  <c r="E20" i="5"/>
  <c r="E19" i="5" s="1"/>
  <c r="H28" i="6" s="1"/>
  <c r="E23" i="5"/>
  <c r="G21" i="5"/>
  <c r="F21" i="5"/>
  <c r="D21" i="5"/>
  <c r="H20" i="5"/>
  <c r="H19" i="5" s="1"/>
  <c r="K28" i="6" s="1"/>
  <c r="H22" i="5"/>
  <c r="E21" i="5"/>
  <c r="G22" i="5"/>
  <c r="G4" i="6"/>
  <c r="F9" i="2"/>
  <c r="F8" i="2" s="1"/>
  <c r="G5" i="6" s="1"/>
  <c r="G14" i="6" s="1"/>
  <c r="F13" i="2"/>
  <c r="F16" i="2" s="1"/>
  <c r="E33" i="4"/>
  <c r="E32" i="4" s="1"/>
  <c r="G19" i="2" s="1"/>
  <c r="F33" i="4"/>
  <c r="F32" i="4" s="1"/>
  <c r="G33" i="4"/>
  <c r="G32" i="4" s="1"/>
  <c r="H33" i="4"/>
  <c r="H32" i="4" s="1"/>
  <c r="D33" i="4"/>
  <c r="D32" i="4" s="1"/>
  <c r="F19" i="2" s="1"/>
  <c r="F26" i="4"/>
  <c r="F25" i="4" s="1"/>
  <c r="G26" i="4"/>
  <c r="G25" i="4" s="1"/>
  <c r="H26" i="4"/>
  <c r="H25" i="4" s="1"/>
  <c r="E26" i="4"/>
  <c r="E25" i="4" s="1"/>
  <c r="G18" i="2" s="1"/>
  <c r="D26" i="4"/>
  <c r="D25" i="4" s="1"/>
  <c r="F18" i="2" s="1"/>
  <c r="H4" i="6"/>
  <c r="H6" i="2"/>
  <c r="G9" i="2"/>
  <c r="G8" i="2" s="1"/>
  <c r="H5" i="6" s="1"/>
  <c r="G13" i="2"/>
  <c r="C10" i="2"/>
  <c r="F19" i="6"/>
  <c r="D16" i="2"/>
  <c r="F20" i="6"/>
  <c r="E20" i="2" s="1"/>
  <c r="E21" i="2" s="1"/>
  <c r="Q22" i="2" l="1"/>
  <c r="G8" i="6"/>
  <c r="G15" i="6"/>
  <c r="G16" i="6"/>
  <c r="G9" i="6"/>
  <c r="G11" i="6" s="1"/>
  <c r="D21" i="2"/>
  <c r="R26" i="1"/>
  <c r="G16" i="2"/>
  <c r="R22" i="2"/>
  <c r="H9" i="6"/>
  <c r="H14" i="6"/>
  <c r="H16" i="6"/>
  <c r="H10" i="6"/>
  <c r="H15" i="6"/>
  <c r="H8" i="6"/>
  <c r="I4" i="6"/>
  <c r="H19" i="2"/>
  <c r="H18" i="2"/>
  <c r="G17" i="6"/>
  <c r="I6" i="2"/>
  <c r="H13" i="2"/>
  <c r="H9" i="2"/>
  <c r="H8" i="2" s="1"/>
  <c r="I5" i="6" s="1"/>
  <c r="C16" i="2"/>
  <c r="Q26" i="1" s="1"/>
  <c r="T26" i="1" s="1"/>
  <c r="C14" i="2"/>
  <c r="G19" i="6" l="1"/>
  <c r="G20" i="6" s="1"/>
  <c r="F20" i="2" s="1"/>
  <c r="F21" i="2" s="1"/>
  <c r="F25" i="2" s="1"/>
  <c r="H11" i="6"/>
  <c r="H16" i="2"/>
  <c r="S22" i="2"/>
  <c r="I14" i="6"/>
  <c r="I9" i="6"/>
  <c r="J4" i="6"/>
  <c r="I19" i="2"/>
  <c r="I18" i="2"/>
  <c r="H17" i="6"/>
  <c r="I16" i="6"/>
  <c r="I10" i="6"/>
  <c r="I15" i="6"/>
  <c r="I8" i="6"/>
  <c r="J6" i="2"/>
  <c r="I13" i="2"/>
  <c r="I9" i="2"/>
  <c r="I8" i="2" s="1"/>
  <c r="J5" i="6" s="1"/>
  <c r="H19" i="6" l="1"/>
  <c r="H20" i="6" s="1"/>
  <c r="G20" i="2" s="1"/>
  <c r="G21" i="2" s="1"/>
  <c r="G25" i="2" s="1"/>
  <c r="I16" i="2"/>
  <c r="T22" i="2"/>
  <c r="I11" i="6"/>
  <c r="J9" i="6"/>
  <c r="J14" i="6"/>
  <c r="J19" i="2"/>
  <c r="K4" i="6"/>
  <c r="J18" i="2"/>
  <c r="J16" i="6"/>
  <c r="J10" i="6"/>
  <c r="J15" i="6"/>
  <c r="J8" i="6"/>
  <c r="I17" i="6"/>
  <c r="J13" i="2"/>
  <c r="J9" i="2"/>
  <c r="J8" i="2" s="1"/>
  <c r="K5" i="6" s="1"/>
  <c r="I19" i="6" l="1"/>
  <c r="I20" i="6" s="1"/>
  <c r="H20" i="2" s="1"/>
  <c r="H21" i="2" s="1"/>
  <c r="H25" i="2" s="1"/>
  <c r="J16" i="2"/>
  <c r="U22" i="2"/>
  <c r="C32" i="2" s="1"/>
  <c r="C34" i="2" s="1"/>
  <c r="J11" i="6"/>
  <c r="K9" i="6"/>
  <c r="K14" i="6"/>
  <c r="K15" i="6"/>
  <c r="K16" i="6"/>
  <c r="K10" i="6"/>
  <c r="K8" i="6"/>
  <c r="J17" i="6"/>
  <c r="C36" i="2" l="1"/>
  <c r="N31" i="2"/>
  <c r="J19" i="6"/>
  <c r="J20" i="6" s="1"/>
  <c r="I20" i="2" s="1"/>
  <c r="I21" i="2" s="1"/>
  <c r="I25" i="2" s="1"/>
  <c r="K17" i="6"/>
  <c r="K11" i="6"/>
  <c r="K19" i="6" l="1"/>
  <c r="K20" i="6" s="1"/>
  <c r="J20" i="2" s="1"/>
  <c r="J21" i="2" s="1"/>
  <c r="C42" i="2" l="1"/>
  <c r="C46" i="2" s="1"/>
  <c r="C48" i="2" s="1"/>
  <c r="N29" i="2"/>
  <c r="N33" i="2" s="1"/>
  <c r="J25" i="2"/>
  <c r="C29" i="2" s="1"/>
  <c r="C39" i="2" s="1"/>
  <c r="N43" i="2" l="1"/>
  <c r="D53" i="2"/>
  <c r="C49" i="2"/>
  <c r="N36" i="2" l="1"/>
  <c r="N39" i="2" s="1"/>
  <c r="N49" i="2"/>
  <c r="N52" i="2" s="1"/>
</calcChain>
</file>

<file path=xl/sharedStrings.xml><?xml version="1.0" encoding="utf-8"?>
<sst xmlns="http://schemas.openxmlformats.org/spreadsheetml/2006/main" count="364" uniqueCount="260">
  <si>
    <t>Name</t>
  </si>
  <si>
    <t>BE Semiconductor Industries</t>
  </si>
  <si>
    <t>Balance Sheet</t>
  </si>
  <si>
    <t>Income Statement</t>
  </si>
  <si>
    <t>Exchange</t>
  </si>
  <si>
    <t>Euronext Amsterdam</t>
  </si>
  <si>
    <t>Assets</t>
  </si>
  <si>
    <t>Revenue</t>
  </si>
  <si>
    <t>Ticker</t>
  </si>
  <si>
    <t>BESI</t>
  </si>
  <si>
    <t>Cash and Equivalents</t>
  </si>
  <si>
    <t>Cost of sales</t>
  </si>
  <si>
    <t>ISIN</t>
  </si>
  <si>
    <t>NL0012866412</t>
  </si>
  <si>
    <t>Deposits</t>
  </si>
  <si>
    <t>Gross Profit</t>
  </si>
  <si>
    <t>Price 6/9</t>
  </si>
  <si>
    <t>Trade receivables</t>
  </si>
  <si>
    <t>Market Cap</t>
  </si>
  <si>
    <t>8.821B</t>
  </si>
  <si>
    <t>Inventories</t>
  </si>
  <si>
    <t>Selling, general and administrative expenses</t>
  </si>
  <si>
    <t>EV</t>
  </si>
  <si>
    <t>Income tax  receivables</t>
  </si>
  <si>
    <t>R&amp;D expenses</t>
  </si>
  <si>
    <t>N Shares</t>
  </si>
  <si>
    <t>Other receivables</t>
  </si>
  <si>
    <t>Total operating expenses</t>
  </si>
  <si>
    <t>Prepayments</t>
  </si>
  <si>
    <t>Operating income</t>
  </si>
  <si>
    <t>Total current assets</t>
  </si>
  <si>
    <t>Financial income</t>
  </si>
  <si>
    <t>Property plant equipment</t>
  </si>
  <si>
    <t>Financial expenses</t>
  </si>
  <si>
    <t>Right of use assets</t>
  </si>
  <si>
    <t>Financial net income</t>
  </si>
  <si>
    <t>Goodwill</t>
  </si>
  <si>
    <t>Other intangible assets</t>
  </si>
  <si>
    <t>Income before taxes</t>
  </si>
  <si>
    <t>Deferred tax assets</t>
  </si>
  <si>
    <t>Income tax expenses</t>
  </si>
  <si>
    <t>Other non-current assets</t>
  </si>
  <si>
    <t>Net income</t>
  </si>
  <si>
    <t>Total non-current assets</t>
  </si>
  <si>
    <t>Total assets</t>
  </si>
  <si>
    <t>Liabilities</t>
  </si>
  <si>
    <t>Bank overdraft</t>
  </si>
  <si>
    <t>Current portion of long-term debt</t>
  </si>
  <si>
    <t>Trade payables</t>
  </si>
  <si>
    <t>Income tax payables</t>
  </si>
  <si>
    <t>Provisions</t>
  </si>
  <si>
    <t>Lease liabilities</t>
  </si>
  <si>
    <t>Other payables</t>
  </si>
  <si>
    <t>Other current Liabilities</t>
  </si>
  <si>
    <t>Total current liabilities</t>
  </si>
  <si>
    <t>Long term debt</t>
  </si>
  <si>
    <t>Deferred tax liabilities</t>
  </si>
  <si>
    <t>Other non-current liabilities</t>
  </si>
  <si>
    <t>Total non-current liabilities</t>
  </si>
  <si>
    <t>Equity</t>
  </si>
  <si>
    <t>Share capital</t>
  </si>
  <si>
    <t>Share premium</t>
  </si>
  <si>
    <t>Retained earnings</t>
  </si>
  <si>
    <t>Other reserves</t>
  </si>
  <si>
    <t>Equity to the owners</t>
  </si>
  <si>
    <t>Total liabilities and equity</t>
  </si>
  <si>
    <t>BE Semiconductors industries</t>
  </si>
  <si>
    <t>Discounted Cash Flow Analysis</t>
  </si>
  <si>
    <t>$ in millions</t>
  </si>
  <si>
    <t>Histocial Period</t>
  </si>
  <si>
    <t>Forecasted Period</t>
  </si>
  <si>
    <t>Revenues</t>
  </si>
  <si>
    <t>% growth</t>
  </si>
  <si>
    <t>Cost of Sales</t>
  </si>
  <si>
    <t>% margin</t>
  </si>
  <si>
    <t>Selling, General and Administrative</t>
  </si>
  <si>
    <t>Depreciation &amp; Amortization</t>
  </si>
  <si>
    <t>EBIT</t>
  </si>
  <si>
    <t>Taxes</t>
  </si>
  <si>
    <t>Plus: Depreciation &amp; Amortization</t>
  </si>
  <si>
    <t>Less: CapEx</t>
  </si>
  <si>
    <t>Less: Inc/Dec in NWC</t>
  </si>
  <si>
    <t>Unlevered Cash Flow</t>
  </si>
  <si>
    <t>WACC</t>
  </si>
  <si>
    <t>Discount Period</t>
  </si>
  <si>
    <t>Present Value of Free Cash Flow</t>
  </si>
  <si>
    <t>Cumulative present value of FCF</t>
  </si>
  <si>
    <t>Historical Period</t>
  </si>
  <si>
    <t>Current Assets</t>
  </si>
  <si>
    <t>Trade Receivables</t>
  </si>
  <si>
    <t>Prepaid Expenses and Other Receivables</t>
  </si>
  <si>
    <t>Total Current Assets</t>
  </si>
  <si>
    <t>Current Liabilities</t>
  </si>
  <si>
    <t>Trade Payables</t>
  </si>
  <si>
    <t>Accrued Liabilities</t>
  </si>
  <si>
    <t>Other Payables</t>
  </si>
  <si>
    <t>Total Current Liabilities</t>
  </si>
  <si>
    <t>Net Working Capital</t>
  </si>
  <si>
    <t>Increase/Decrease NWC</t>
  </si>
  <si>
    <t>Year 1</t>
  </si>
  <si>
    <t>Year 2</t>
  </si>
  <si>
    <t>Year 3</t>
  </si>
  <si>
    <t>Year 4</t>
  </si>
  <si>
    <t>Year 5</t>
  </si>
  <si>
    <t>Income Statement Assumption</t>
  </si>
  <si>
    <t>Revenues % growth</t>
  </si>
  <si>
    <t>Base</t>
  </si>
  <si>
    <t>Upside</t>
  </si>
  <si>
    <t>Downside 1</t>
  </si>
  <si>
    <t>Downside 2</t>
  </si>
  <si>
    <t>Casflow Statement Assumption</t>
  </si>
  <si>
    <t>CapEx (% sales)</t>
  </si>
  <si>
    <t>* According to the note to the financial statement</t>
  </si>
  <si>
    <t>*According to the note to the financial statement</t>
  </si>
  <si>
    <t>Other Receivables</t>
  </si>
  <si>
    <t>R&amp;D Grants</t>
  </si>
  <si>
    <t>Forward foreign currency exchange contracts</t>
  </si>
  <si>
    <t>VAT receivables</t>
  </si>
  <si>
    <t>Interest to be received</t>
  </si>
  <si>
    <t>Revenues to be received</t>
  </si>
  <si>
    <t xml:space="preserve">Other   </t>
  </si>
  <si>
    <t>108.7</t>
  </si>
  <si>
    <t>-</t>
  </si>
  <si>
    <t>Total</t>
  </si>
  <si>
    <t>Prepaid licenses</t>
  </si>
  <si>
    <t>Prepaid suppliers</t>
  </si>
  <si>
    <t>Prepaid insurances</t>
  </si>
  <si>
    <t>Prepaid pensions and social security</t>
  </si>
  <si>
    <t>Other Prepayments</t>
  </si>
  <si>
    <t>Payroll accruals</t>
  </si>
  <si>
    <t>interest expenses</t>
  </si>
  <si>
    <t>Volume rebate and commissions</t>
  </si>
  <si>
    <t>Project costs</t>
  </si>
  <si>
    <t>Audit and consultancy fees</t>
  </si>
  <si>
    <t>Invoices to be received</t>
  </si>
  <si>
    <t>Temporaries</t>
  </si>
  <si>
    <t>Freight and Packaging costs</t>
  </si>
  <si>
    <t xml:space="preserve">Total </t>
  </si>
  <si>
    <t>Other current liabilities</t>
  </si>
  <si>
    <t>Contract liabilities</t>
  </si>
  <si>
    <t>Advances from customers</t>
  </si>
  <si>
    <t>Payroll liabilities</t>
  </si>
  <si>
    <t xml:space="preserve">Other  </t>
  </si>
  <si>
    <t>Depreciation</t>
  </si>
  <si>
    <t>Amortization</t>
  </si>
  <si>
    <t>SG&amp;A</t>
  </si>
  <si>
    <t>R&amp;D</t>
  </si>
  <si>
    <t xml:space="preserve">Cost of sale </t>
  </si>
  <si>
    <t xml:space="preserve">SG&amp;A </t>
  </si>
  <si>
    <t>CapEX</t>
  </si>
  <si>
    <t>WACC Calculation</t>
  </si>
  <si>
    <t>Target Capital Structure</t>
  </si>
  <si>
    <t>Equity-to-Total Capitalization</t>
  </si>
  <si>
    <t>Cost of Debt</t>
  </si>
  <si>
    <t>Tax Rate</t>
  </si>
  <si>
    <t>After tax Cost of Debt</t>
  </si>
  <si>
    <t>Cost of Equity</t>
  </si>
  <si>
    <t>Market Risk Premium</t>
  </si>
  <si>
    <t>Size Premium</t>
  </si>
  <si>
    <t>Assumptions</t>
  </si>
  <si>
    <t>Dasy Sales Outstanding</t>
  </si>
  <si>
    <t>Days Inventory Held</t>
  </si>
  <si>
    <t>Prepaids and Other CA (% of sales)</t>
  </si>
  <si>
    <t>Days Payable Outstanding</t>
  </si>
  <si>
    <t>Accrued Liabilities (% of sales)</t>
  </si>
  <si>
    <t>Other Current Payables (% of sales)</t>
  </si>
  <si>
    <t>Companies</t>
  </si>
  <si>
    <t>Predicted Levered Beta</t>
  </si>
  <si>
    <t>Debt/Equity</t>
  </si>
  <si>
    <t>Marginal Tax Rate</t>
  </si>
  <si>
    <t>Unlevered Beta</t>
  </si>
  <si>
    <t>Mean</t>
  </si>
  <si>
    <t>Median</t>
  </si>
  <si>
    <t>Comparable Companies Unlevered Beta</t>
  </si>
  <si>
    <t>Besi Relevered Beta</t>
  </si>
  <si>
    <t>Relevered Beta</t>
  </si>
  <si>
    <t>Mean Unlevered Beta</t>
  </si>
  <si>
    <t>Target Debt/equity</t>
  </si>
  <si>
    <t>Target Marginal Tax Rate</t>
  </si>
  <si>
    <t>Historic Debt-to-Total Capitalization</t>
  </si>
  <si>
    <t>Disco Corporation</t>
  </si>
  <si>
    <t>VAT group</t>
  </si>
  <si>
    <t>ASM Pacific Technology</t>
  </si>
  <si>
    <t>Debt-to-equity</t>
  </si>
  <si>
    <t>Debt-to-Total Capitalization (1)</t>
  </si>
  <si>
    <t>Cost of Debt (2)</t>
  </si>
  <si>
    <t>(1) The Debt-to-Total capitalization ratio is 59,39% for BESI, meanwhile the mean of the sector and the comparables is around 32%</t>
  </si>
  <si>
    <t>(2) The yield on the bonds issued in 2024 maturing in 2031 is 4,07%, given the BB+ rating another estimation for the cost of debt can be at 4,5%/5,0%</t>
  </si>
  <si>
    <t>Risk-Free Rate (3)</t>
  </si>
  <si>
    <t>(3) The 5-year risk-free rate in the Eurozone is 2,5% as of September 2025</t>
  </si>
  <si>
    <t>Levered Beta (4)</t>
  </si>
  <si>
    <t xml:space="preserve">(4) According to different sources BESI's unlevered beta is 1.25, meanwhile if we calculate the relevered beta from the comparables we get </t>
  </si>
  <si>
    <t>Amkor Technology Inc</t>
  </si>
  <si>
    <t>Discount Factor</t>
  </si>
  <si>
    <t>Terminal Value</t>
  </si>
  <si>
    <t>Terminal Year EBITDA (2029)</t>
  </si>
  <si>
    <t>Exit Multiple</t>
  </si>
  <si>
    <t>Present Value of Terminal Value</t>
  </si>
  <si>
    <t>% of Enterprise Value</t>
  </si>
  <si>
    <t>Enterprise Value</t>
  </si>
  <si>
    <t>Implied Perpetuity Growth Rate</t>
  </si>
  <si>
    <t>Terminal Year Free Cash Flow (2029)</t>
  </si>
  <si>
    <t>Implied EV/EBITDA</t>
  </si>
  <si>
    <t>LTM EBITDA</t>
  </si>
  <si>
    <t>Implied Equity Value and Share Price</t>
  </si>
  <si>
    <t>Less: Total Debt</t>
  </si>
  <si>
    <t>Less: Preferred stock</t>
  </si>
  <si>
    <t>Less: Noncontrolling Interest</t>
  </si>
  <si>
    <t>Plus: Cash and Cash Equivalents</t>
  </si>
  <si>
    <t xml:space="preserve">Implied Equity Value </t>
  </si>
  <si>
    <t>Fully Diluted Shares Outstanding</t>
  </si>
  <si>
    <t>Implied Share Price</t>
  </si>
  <si>
    <t>Growth Rate</t>
  </si>
  <si>
    <t>WACC Sensitivity Analysis</t>
  </si>
  <si>
    <t xml:space="preserve">Operating Scenario </t>
  </si>
  <si>
    <t>DSO</t>
  </si>
  <si>
    <t>DIH</t>
  </si>
  <si>
    <t>DPO</t>
  </si>
  <si>
    <t xml:space="preserve">Downside 1 </t>
  </si>
  <si>
    <t>Prepaid and Other Recieivables % of sales</t>
  </si>
  <si>
    <t>Other Current Liabilities % of sales</t>
  </si>
  <si>
    <t>Accrued Liabilities % of sales</t>
  </si>
  <si>
    <t>Enterprise Value Calculation</t>
  </si>
  <si>
    <t>Estimates from Yahoo finance, Alpha spread, Simply Wall Street.</t>
  </si>
  <si>
    <t>Given the highly cyclical nature of BESI's business three scenarios have been developed:</t>
  </si>
  <si>
    <t>NOPAT</t>
  </si>
  <si>
    <t>Historical COS and SG&amp;A as &amp; of sales</t>
  </si>
  <si>
    <t>COS</t>
  </si>
  <si>
    <t>Historic Mean</t>
  </si>
  <si>
    <t>Reaserch &amp; Development</t>
  </si>
  <si>
    <t>Gross Profit (% sales)</t>
  </si>
  <si>
    <t>EBIT (% sales)</t>
  </si>
  <si>
    <t>D&amp;A % of sales</t>
  </si>
  <si>
    <t xml:space="preserve">Capex % of sales </t>
  </si>
  <si>
    <t xml:space="preserve">Historical Mean </t>
  </si>
  <si>
    <t>Prepaid expenses % of sales</t>
  </si>
  <si>
    <t>Other payables % of sales</t>
  </si>
  <si>
    <t>Accrued liabilities % of sales</t>
  </si>
  <si>
    <t>EBITDA</t>
  </si>
  <si>
    <t>*the average LTM EV/EBITDA of the sector is around 20-25X, BESI's is 48X</t>
  </si>
  <si>
    <t>Perpetuity Growth Rate</t>
  </si>
  <si>
    <t xml:space="preserve">Terminal Value </t>
  </si>
  <si>
    <t xml:space="preserve">Implied Perpetuity Growth Rate </t>
  </si>
  <si>
    <t xml:space="preserve">*the implied EV/EBITDA given by the perpetuity growth rate is 22,86 that is in line with the average LTM sector multiple </t>
  </si>
  <si>
    <t>so the Enterprise value calculated with this method can  be considered an estimation closer to the real EV</t>
  </si>
  <si>
    <t>Exit Multiple Method Sensitivity Analysis</t>
  </si>
  <si>
    <t>Pre tax Cost of Debt</t>
  </si>
  <si>
    <t>Debt to total Capitalization</t>
  </si>
  <si>
    <t>Debt-to-Total Cap. Mean Comparables</t>
  </si>
  <si>
    <t>Equity-to.Total Cap. Mean Comps</t>
  </si>
  <si>
    <t>Assumptions - Net Working Capital</t>
  </si>
  <si>
    <t>Assumptions - Income Statement and CF Statement</t>
  </si>
  <si>
    <t xml:space="preserve"> </t>
  </si>
  <si>
    <t>Basic Shares Outstanding</t>
  </si>
  <si>
    <t>Convertible Notes Due 2027</t>
  </si>
  <si>
    <t>Convertible Notes Due 2029</t>
  </si>
  <si>
    <t>Conversion Price</t>
  </si>
  <si>
    <t>Dilutive Shares</t>
  </si>
  <si>
    <t xml:space="preserve">Conversion Price </t>
  </si>
  <si>
    <t>the exit multiple chosen in this valuation is 18X in the base scenario, in line with the median of the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</si>
</sst>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.00\ &quot;€&quot;"/>
    <numFmt numFmtId="165" formatCode="#,##0.0\ &quot;€&quot;"/>
    <numFmt numFmtId="166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0"/>
      <name val="Aptos Narrow"/>
      <scheme val="minor"/>
    </font>
    <font>
      <sz val="1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38" fontId="1" fillId="0" borderId="3" xfId="0" applyNumberFormat="1" applyFont="1" applyBorder="1"/>
    <xf numFmtId="38" fontId="0" fillId="0" borderId="3" xfId="0" applyNumberFormat="1" applyBorder="1"/>
    <xf numFmtId="0" fontId="3" fillId="0" borderId="0" xfId="0" applyFont="1"/>
    <xf numFmtId="38" fontId="3" fillId="0" borderId="3" xfId="0" applyNumberFormat="1" applyFont="1" applyBorder="1"/>
    <xf numFmtId="0" fontId="0" fillId="0" borderId="6" xfId="0" applyBorder="1"/>
    <xf numFmtId="38" fontId="0" fillId="0" borderId="6" xfId="0" applyNumberFormat="1" applyBorder="1"/>
    <xf numFmtId="38" fontId="3" fillId="0" borderId="6" xfId="0" applyNumberFormat="1" applyFont="1" applyBorder="1"/>
    <xf numFmtId="38" fontId="0" fillId="0" borderId="7" xfId="0" applyNumberFormat="1" applyBorder="1"/>
    <xf numFmtId="38" fontId="0" fillId="0" borderId="8" xfId="0" applyNumberFormat="1" applyBorder="1"/>
    <xf numFmtId="38" fontId="1" fillId="0" borderId="10" xfId="0" applyNumberFormat="1" applyFont="1" applyBorder="1"/>
    <xf numFmtId="38" fontId="3" fillId="0" borderId="10" xfId="0" applyNumberFormat="1" applyFont="1" applyBorder="1"/>
    <xf numFmtId="0" fontId="0" fillId="0" borderId="8" xfId="0" applyBorder="1"/>
    <xf numFmtId="38" fontId="3" fillId="0" borderId="11" xfId="0" applyNumberFormat="1" applyFont="1" applyBorder="1"/>
    <xf numFmtId="10" fontId="4" fillId="0" borderId="0" xfId="0" applyNumberFormat="1" applyFont="1"/>
    <xf numFmtId="10" fontId="4" fillId="0" borderId="8" xfId="0" applyNumberFormat="1" applyFont="1" applyBorder="1"/>
    <xf numFmtId="0" fontId="0" fillId="0" borderId="12" xfId="0" applyBorder="1"/>
    <xf numFmtId="38" fontId="0" fillId="5" borderId="8" xfId="0" applyNumberFormat="1" applyFill="1" applyBorder="1"/>
    <xf numFmtId="0" fontId="3" fillId="0" borderId="12" xfId="0" applyFont="1" applyBorder="1"/>
    <xf numFmtId="1" fontId="0" fillId="0" borderId="0" xfId="0" applyNumberFormat="1"/>
    <xf numFmtId="1" fontId="0" fillId="0" borderId="8" xfId="0" applyNumberFormat="1" applyBorder="1"/>
    <xf numFmtId="10" fontId="0" fillId="0" borderId="0" xfId="0" applyNumberFormat="1"/>
    <xf numFmtId="0" fontId="3" fillId="0" borderId="14" xfId="0" applyFont="1" applyBorder="1"/>
    <xf numFmtId="0" fontId="0" fillId="0" borderId="13" xfId="0" applyBorder="1"/>
    <xf numFmtId="0" fontId="3" fillId="0" borderId="16" xfId="0" applyFont="1" applyBorder="1"/>
    <xf numFmtId="0" fontId="0" fillId="0" borderId="14" xfId="0" applyBorder="1"/>
    <xf numFmtId="10" fontId="4" fillId="0" borderId="12" xfId="0" applyNumberFormat="1" applyFont="1" applyBorder="1"/>
    <xf numFmtId="10" fontId="4" fillId="0" borderId="17" xfId="0" applyNumberFormat="1" applyFont="1" applyBorder="1"/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0" fillId="5" borderId="8" xfId="0" applyFill="1" applyBorder="1"/>
    <xf numFmtId="10" fontId="0" fillId="3" borderId="0" xfId="0" applyNumberFormat="1" applyFill="1"/>
    <xf numFmtId="10" fontId="0" fillId="0" borderId="6" xfId="0" applyNumberFormat="1" applyBorder="1"/>
    <xf numFmtId="10" fontId="0" fillId="0" borderId="12" xfId="0" applyNumberFormat="1" applyBorder="1"/>
    <xf numFmtId="0" fontId="0" fillId="0" borderId="0" xfId="0" applyAlignment="1">
      <alignment horizontal="left"/>
    </xf>
    <xf numFmtId="2" fontId="0" fillId="0" borderId="11" xfId="0" applyNumberFormat="1" applyBorder="1"/>
    <xf numFmtId="2" fontId="0" fillId="0" borderId="17" xfId="0" applyNumberFormat="1" applyBorder="1"/>
    <xf numFmtId="10" fontId="0" fillId="0" borderId="0" xfId="0" applyNumberFormat="1" applyAlignment="1">
      <alignment horizontal="center"/>
    </xf>
    <xf numFmtId="10" fontId="0" fillId="5" borderId="1" xfId="0" applyNumberFormat="1" applyFill="1" applyBorder="1"/>
    <xf numFmtId="0" fontId="0" fillId="0" borderId="7" xfId="0" applyBorder="1"/>
    <xf numFmtId="0" fontId="0" fillId="5" borderId="17" xfId="0" applyFill="1" applyBorder="1"/>
    <xf numFmtId="166" fontId="0" fillId="0" borderId="14" xfId="0" applyNumberFormat="1" applyBorder="1"/>
    <xf numFmtId="166" fontId="0" fillId="0" borderId="12" xfId="0" applyNumberFormat="1" applyBorder="1"/>
    <xf numFmtId="0" fontId="6" fillId="7" borderId="0" xfId="0" applyFont="1" applyFill="1"/>
    <xf numFmtId="10" fontId="3" fillId="0" borderId="0" xfId="0" applyNumberFormat="1" applyFont="1"/>
    <xf numFmtId="38" fontId="0" fillId="5" borderId="17" xfId="0" applyNumberFormat="1" applyFill="1" applyBorder="1"/>
    <xf numFmtId="10" fontId="0" fillId="0" borderId="8" xfId="0" applyNumberFormat="1" applyBorder="1"/>
    <xf numFmtId="10" fontId="0" fillId="5" borderId="6" xfId="0" applyNumberFormat="1" applyFill="1" applyBorder="1"/>
    <xf numFmtId="10" fontId="0" fillId="5" borderId="11" xfId="0" applyNumberFormat="1" applyFill="1" applyBorder="1"/>
    <xf numFmtId="38" fontId="0" fillId="0" borderId="13" xfId="0" applyNumberFormat="1" applyBorder="1"/>
    <xf numFmtId="1" fontId="0" fillId="5" borderId="11" xfId="0" applyNumberFormat="1" applyFill="1" applyBorder="1"/>
    <xf numFmtId="1" fontId="0" fillId="0" borderId="7" xfId="0" applyNumberFormat="1" applyBorder="1"/>
    <xf numFmtId="1" fontId="0" fillId="0" borderId="6" xfId="0" applyNumberFormat="1" applyBorder="1"/>
    <xf numFmtId="1" fontId="0" fillId="5" borderId="6" xfId="0" applyNumberFormat="1" applyFill="1" applyBorder="1"/>
    <xf numFmtId="0" fontId="0" fillId="0" borderId="5" xfId="0" applyBorder="1"/>
    <xf numFmtId="38" fontId="0" fillId="0" borderId="15" xfId="0" applyNumberFormat="1" applyBorder="1"/>
    <xf numFmtId="38" fontId="0" fillId="5" borderId="13" xfId="0" applyNumberFormat="1" applyFill="1" applyBorder="1"/>
    <xf numFmtId="38" fontId="3" fillId="0" borderId="15" xfId="0" applyNumberFormat="1" applyFont="1" applyBorder="1"/>
    <xf numFmtId="38" fontId="3" fillId="0" borderId="13" xfId="0" applyNumberFormat="1" applyFont="1" applyBorder="1"/>
    <xf numFmtId="10" fontId="0" fillId="0" borderId="13" xfId="0" applyNumberFormat="1" applyBorder="1"/>
    <xf numFmtId="10" fontId="0" fillId="5" borderId="8" xfId="0" applyNumberFormat="1" applyFill="1" applyBorder="1"/>
    <xf numFmtId="10" fontId="0" fillId="5" borderId="12" xfId="0" applyNumberFormat="1" applyFill="1" applyBorder="1"/>
    <xf numFmtId="10" fontId="0" fillId="5" borderId="17" xfId="0" applyNumberFormat="1" applyFill="1" applyBorder="1"/>
    <xf numFmtId="10" fontId="0" fillId="0" borderId="7" xfId="0" applyNumberFormat="1" applyBorder="1"/>
    <xf numFmtId="10" fontId="0" fillId="0" borderId="17" xfId="0" applyNumberFormat="1" applyBorder="1"/>
    <xf numFmtId="38" fontId="0" fillId="5" borderId="12" xfId="0" applyNumberFormat="1" applyFill="1" applyBorder="1"/>
    <xf numFmtId="38" fontId="0" fillId="5" borderId="14" xfId="0" applyNumberFormat="1" applyFill="1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3" fillId="0" borderId="19" xfId="0" applyFont="1" applyBorder="1"/>
    <xf numFmtId="0" fontId="0" fillId="0" borderId="19" xfId="0" applyBorder="1"/>
    <xf numFmtId="8" fontId="0" fillId="0" borderId="0" xfId="0" applyNumberFormat="1"/>
    <xf numFmtId="10" fontId="0" fillId="8" borderId="21" xfId="0" applyNumberFormat="1" applyFill="1" applyBorder="1"/>
    <xf numFmtId="10" fontId="0" fillId="8" borderId="19" xfId="0" applyNumberFormat="1" applyFill="1" applyBorder="1"/>
    <xf numFmtId="10" fontId="0" fillId="3" borderId="22" xfId="0" applyNumberFormat="1" applyFill="1" applyBorder="1"/>
    <xf numFmtId="10" fontId="0" fillId="8" borderId="7" xfId="0" applyNumberFormat="1" applyFill="1" applyBorder="1"/>
    <xf numFmtId="10" fontId="0" fillId="8" borderId="18" xfId="0" applyNumberFormat="1" applyFill="1" applyBorder="1"/>
    <xf numFmtId="10" fontId="0" fillId="9" borderId="21" xfId="0" applyNumberFormat="1" applyFill="1" applyBorder="1"/>
    <xf numFmtId="10" fontId="0" fillId="9" borderId="19" xfId="0" applyNumberFormat="1" applyFill="1" applyBorder="1"/>
    <xf numFmtId="38" fontId="0" fillId="3" borderId="22" xfId="0" applyNumberFormat="1" applyFill="1" applyBorder="1"/>
    <xf numFmtId="0" fontId="0" fillId="9" borderId="7" xfId="0" applyFill="1" applyBorder="1"/>
    <xf numFmtId="0" fontId="0" fillId="9" borderId="18" xfId="0" applyFill="1" applyBorder="1"/>
    <xf numFmtId="0" fontId="5" fillId="7" borderId="0" xfId="0" applyFont="1" applyFill="1"/>
    <xf numFmtId="0" fontId="3" fillId="0" borderId="13" xfId="0" applyFont="1" applyBorder="1"/>
    <xf numFmtId="0" fontId="3" fillId="0" borderId="15" xfId="0" applyFont="1" applyBorder="1"/>
    <xf numFmtId="38" fontId="3" fillId="0" borderId="7" xfId="0" applyNumberFormat="1" applyFont="1" applyBorder="1"/>
    <xf numFmtId="38" fontId="3" fillId="0" borderId="18" xfId="0" applyNumberFormat="1" applyFont="1" applyBorder="1"/>
    <xf numFmtId="10" fontId="0" fillId="0" borderId="21" xfId="0" applyNumberFormat="1" applyBorder="1"/>
    <xf numFmtId="10" fontId="0" fillId="0" borderId="19" xfId="0" applyNumberFormat="1" applyBorder="1"/>
    <xf numFmtId="0" fontId="5" fillId="7" borderId="14" xfId="0" applyFont="1" applyFill="1" applyBorder="1"/>
    <xf numFmtId="0" fontId="0" fillId="0" borderId="22" xfId="0" applyBorder="1"/>
    <xf numFmtId="0" fontId="6" fillId="7" borderId="15" xfId="0" applyFont="1" applyFill="1" applyBorder="1"/>
    <xf numFmtId="0" fontId="0" fillId="0" borderId="10" xfId="0" applyBorder="1"/>
    <xf numFmtId="38" fontId="0" fillId="0" borderId="11" xfId="0" applyNumberFormat="1" applyBorder="1"/>
    <xf numFmtId="0" fontId="1" fillId="0" borderId="13" xfId="0" applyFont="1" applyBorder="1"/>
    <xf numFmtId="38" fontId="0" fillId="5" borderId="0" xfId="0" applyNumberFormat="1" applyFill="1"/>
    <xf numFmtId="38" fontId="3" fillId="0" borderId="0" xfId="0" applyNumberFormat="1" applyFont="1"/>
    <xf numFmtId="38" fontId="3" fillId="0" borderId="8" xfId="0" applyNumberFormat="1" applyFont="1" applyBorder="1"/>
    <xf numFmtId="0" fontId="3" fillId="3" borderId="14" xfId="0" applyFont="1" applyFill="1" applyBorder="1"/>
    <xf numFmtId="38" fontId="3" fillId="3" borderId="7" xfId="0" applyNumberFormat="1" applyFont="1" applyFill="1" applyBorder="1"/>
    <xf numFmtId="38" fontId="3" fillId="3" borderId="16" xfId="0" applyNumberFormat="1" applyFont="1" applyFill="1" applyBorder="1"/>
    <xf numFmtId="38" fontId="3" fillId="3" borderId="18" xfId="0" applyNumberFormat="1" applyFont="1" applyFill="1" applyBorder="1"/>
    <xf numFmtId="0" fontId="0" fillId="0" borderId="24" xfId="0" applyBorder="1"/>
    <xf numFmtId="38" fontId="3" fillId="3" borderId="16" xfId="0" applyNumberFormat="1" applyFont="1" applyFill="1" applyBorder="1" applyAlignment="1">
      <alignment horizontal="center"/>
    </xf>
    <xf numFmtId="0" fontId="0" fillId="0" borderId="16" xfId="0" applyBorder="1"/>
    <xf numFmtId="38" fontId="3" fillId="0" borderId="16" xfId="0" applyNumberFormat="1" applyFont="1" applyBorder="1"/>
    <xf numFmtId="2" fontId="0" fillId="0" borderId="8" xfId="0" applyNumberFormat="1" applyBorder="1"/>
    <xf numFmtId="0" fontId="5" fillId="0" borderId="0" xfId="0" applyFont="1"/>
    <xf numFmtId="0" fontId="3" fillId="0" borderId="17" xfId="0" applyFont="1" applyBorder="1"/>
    <xf numFmtId="0" fontId="0" fillId="5" borderId="20" xfId="0" applyFill="1" applyBorder="1"/>
    <xf numFmtId="0" fontId="0" fillId="5" borderId="0" xfId="0" applyFill="1"/>
    <xf numFmtId="10" fontId="0" fillId="5" borderId="0" xfId="0" applyNumberFormat="1" applyFill="1"/>
    <xf numFmtId="0" fontId="0" fillId="5" borderId="21" xfId="0" applyFill="1" applyBorder="1"/>
    <xf numFmtId="0" fontId="3" fillId="0" borderId="17" xfId="0" applyFont="1" applyBorder="1" applyAlignment="1">
      <alignment horizontal="center"/>
    </xf>
    <xf numFmtId="2" fontId="0" fillId="0" borderId="12" xfId="0" applyNumberFormat="1" applyBorder="1"/>
    <xf numFmtId="2" fontId="0" fillId="3" borderId="22" xfId="0" applyNumberFormat="1" applyFill="1" applyBorder="1"/>
    <xf numFmtId="0" fontId="0" fillId="0" borderId="15" xfId="0" applyBorder="1"/>
    <xf numFmtId="10" fontId="0" fillId="0" borderId="11" xfId="0" applyNumberFormat="1" applyBorder="1"/>
    <xf numFmtId="0" fontId="3" fillId="0" borderId="22" xfId="0" applyFont="1" applyBorder="1"/>
    <xf numFmtId="10" fontId="0" fillId="0" borderId="18" xfId="0" applyNumberFormat="1" applyBorder="1"/>
    <xf numFmtId="0" fontId="5" fillId="7" borderId="22" xfId="0" applyFont="1" applyFill="1" applyBorder="1"/>
    <xf numFmtId="0" fontId="5" fillId="7" borderId="19" xfId="0" applyFont="1" applyFill="1" applyBorder="1"/>
    <xf numFmtId="0" fontId="1" fillId="0" borderId="15" xfId="0" applyFont="1" applyBorder="1"/>
    <xf numFmtId="0" fontId="4" fillId="0" borderId="13" xfId="0" applyFont="1" applyBorder="1"/>
    <xf numFmtId="10" fontId="0" fillId="5" borderId="9" xfId="0" applyNumberFormat="1" applyFill="1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6" xfId="0" applyFont="1" applyBorder="1"/>
    <xf numFmtId="0" fontId="0" fillId="0" borderId="22" xfId="0" applyBorder="1" applyAlignment="1">
      <alignment horizontal="center"/>
    </xf>
    <xf numFmtId="1" fontId="0" fillId="0" borderId="18" xfId="0" applyNumberFormat="1" applyBorder="1"/>
    <xf numFmtId="1" fontId="0" fillId="5" borderId="0" xfId="0" applyNumberFormat="1" applyFill="1"/>
    <xf numFmtId="1" fontId="0" fillId="0" borderId="11" xfId="0" applyNumberFormat="1" applyBorder="1"/>
    <xf numFmtId="10" fontId="8" fillId="5" borderId="0" xfId="0" applyNumberFormat="1" applyFont="1" applyFill="1"/>
    <xf numFmtId="0" fontId="0" fillId="5" borderId="12" xfId="0" applyFill="1" applyBorder="1"/>
    <xf numFmtId="0" fontId="0" fillId="0" borderId="25" xfId="0" applyBorder="1"/>
    <xf numFmtId="0" fontId="0" fillId="0" borderId="26" xfId="0" applyBorder="1"/>
    <xf numFmtId="0" fontId="6" fillId="0" borderId="0" xfId="0" applyFont="1"/>
    <xf numFmtId="38" fontId="0" fillId="5" borderId="6" xfId="0" applyNumberFormat="1" applyFill="1" applyBorder="1"/>
    <xf numFmtId="38" fontId="0" fillId="5" borderId="11" xfId="0" applyNumberFormat="1" applyFill="1" applyBorder="1"/>
    <xf numFmtId="166" fontId="0" fillId="0" borderId="17" xfId="0" applyNumberFormat="1" applyBorder="1"/>
    <xf numFmtId="0" fontId="1" fillId="3" borderId="16" xfId="0" applyFont="1" applyFill="1" applyBorder="1"/>
    <xf numFmtId="0" fontId="0" fillId="3" borderId="7" xfId="0" applyFill="1" applyBorder="1"/>
    <xf numFmtId="0" fontId="0" fillId="3" borderId="18" xfId="0" applyFill="1" applyBorder="1"/>
    <xf numFmtId="38" fontId="3" fillId="3" borderId="12" xfId="0" applyNumberFormat="1" applyFont="1" applyFill="1" applyBorder="1"/>
    <xf numFmtId="38" fontId="3" fillId="3" borderId="17" xfId="0" applyNumberFormat="1" applyFont="1" applyFill="1" applyBorder="1"/>
    <xf numFmtId="0" fontId="0" fillId="0" borderId="31" xfId="0" applyBorder="1"/>
    <xf numFmtId="38" fontId="0" fillId="5" borderId="15" xfId="0" applyNumberFormat="1" applyFill="1" applyBorder="1"/>
    <xf numFmtId="0" fontId="4" fillId="0" borderId="13" xfId="0" applyFont="1" applyBorder="1" applyAlignment="1">
      <alignment horizontal="center"/>
    </xf>
    <xf numFmtId="38" fontId="3" fillId="0" borderId="30" xfId="0" applyNumberFormat="1" applyFont="1" applyBorder="1"/>
    <xf numFmtId="10" fontId="4" fillId="0" borderId="13" xfId="0" applyNumberFormat="1" applyFont="1" applyBorder="1"/>
    <xf numFmtId="38" fontId="0" fillId="0" borderId="13" xfId="0" applyNumberFormat="1" applyBorder="1" applyAlignment="1">
      <alignment horizontal="center"/>
    </xf>
    <xf numFmtId="10" fontId="3" fillId="0" borderId="15" xfId="0" applyNumberFormat="1" applyFont="1" applyBorder="1"/>
    <xf numFmtId="0" fontId="0" fillId="3" borderId="16" xfId="0" applyFill="1" applyBorder="1"/>
    <xf numFmtId="0" fontId="7" fillId="0" borderId="13" xfId="0" applyFont="1" applyBorder="1"/>
    <xf numFmtId="38" fontId="3" fillId="3" borderId="14" xfId="0" applyNumberFormat="1" applyFont="1" applyFill="1" applyBorder="1"/>
    <xf numFmtId="10" fontId="0" fillId="0" borderId="14" xfId="0" applyNumberFormat="1" applyBorder="1"/>
    <xf numFmtId="0" fontId="3" fillId="0" borderId="20" xfId="0" applyFont="1" applyBorder="1" applyAlignment="1">
      <alignment horizontal="center"/>
    </xf>
    <xf numFmtId="10" fontId="3" fillId="0" borderId="21" xfId="0" applyNumberFormat="1" applyFont="1" applyBorder="1" applyAlignment="1">
      <alignment horizontal="center"/>
    </xf>
    <xf numFmtId="10" fontId="3" fillId="0" borderId="19" xfId="0" applyNumberFormat="1" applyFont="1" applyBorder="1" applyAlignment="1">
      <alignment horizontal="center"/>
    </xf>
    <xf numFmtId="0" fontId="7" fillId="0" borderId="19" xfId="0" applyFont="1" applyBorder="1"/>
    <xf numFmtId="38" fontId="0" fillId="0" borderId="20" xfId="0" applyNumberFormat="1" applyBorder="1"/>
    <xf numFmtId="166" fontId="0" fillId="0" borderId="19" xfId="0" applyNumberFormat="1" applyBorder="1"/>
    <xf numFmtId="38" fontId="0" fillId="0" borderId="21" xfId="0" applyNumberFormat="1" applyBorder="1"/>
    <xf numFmtId="38" fontId="3" fillId="3" borderId="22" xfId="0" applyNumberFormat="1" applyFont="1" applyFill="1" applyBorder="1"/>
    <xf numFmtId="2" fontId="3" fillId="3" borderId="22" xfId="0" applyNumberFormat="1" applyFont="1" applyFill="1" applyBorder="1"/>
    <xf numFmtId="9" fontId="0" fillId="0" borderId="21" xfId="0" applyNumberFormat="1" applyBorder="1"/>
    <xf numFmtId="166" fontId="0" fillId="0" borderId="21" xfId="0" applyNumberFormat="1" applyBorder="1"/>
    <xf numFmtId="38" fontId="0" fillId="0" borderId="19" xfId="0" applyNumberFormat="1" applyBorder="1"/>
    <xf numFmtId="164" fontId="3" fillId="3" borderId="22" xfId="0" applyNumberFormat="1" applyFont="1" applyFill="1" applyBorder="1"/>
    <xf numFmtId="10" fontId="3" fillId="3" borderId="22" xfId="0" applyNumberFormat="1" applyFont="1" applyFill="1" applyBorder="1"/>
    <xf numFmtId="0" fontId="9" fillId="7" borderId="15" xfId="0" applyFont="1" applyFill="1" applyBorder="1"/>
    <xf numFmtId="0" fontId="9" fillId="7" borderId="11" xfId="0" applyFont="1" applyFill="1" applyBorder="1"/>
    <xf numFmtId="0" fontId="9" fillId="7" borderId="13" xfId="0" applyFont="1" applyFill="1" applyBorder="1"/>
    <xf numFmtId="0" fontId="9" fillId="7" borderId="8" xfId="0" applyFont="1" applyFill="1" applyBorder="1"/>
    <xf numFmtId="164" fontId="9" fillId="7" borderId="8" xfId="0" applyNumberFormat="1" applyFont="1" applyFill="1" applyBorder="1"/>
    <xf numFmtId="0" fontId="9" fillId="7" borderId="8" xfId="0" applyFont="1" applyFill="1" applyBorder="1" applyAlignment="1">
      <alignment vertical="top"/>
    </xf>
    <xf numFmtId="0" fontId="9" fillId="7" borderId="14" xfId="0" applyFont="1" applyFill="1" applyBorder="1"/>
    <xf numFmtId="0" fontId="9" fillId="7" borderId="17" xfId="0" applyFont="1" applyFill="1" applyBorder="1"/>
    <xf numFmtId="0" fontId="1" fillId="2" borderId="15" xfId="0" applyFont="1" applyFill="1" applyBorder="1"/>
    <xf numFmtId="0" fontId="1" fillId="0" borderId="30" xfId="0" applyFont="1" applyBorder="1"/>
    <xf numFmtId="2" fontId="0" fillId="0" borderId="13" xfId="0" applyNumberFormat="1" applyBorder="1"/>
    <xf numFmtId="0" fontId="1" fillId="0" borderId="31" xfId="0" applyFont="1" applyBorder="1"/>
    <xf numFmtId="38" fontId="3" fillId="0" borderId="25" xfId="0" applyNumberFormat="1" applyFont="1" applyBorder="1"/>
    <xf numFmtId="38" fontId="1" fillId="0" borderId="26" xfId="0" applyNumberFormat="1" applyFont="1" applyBorder="1"/>
    <xf numFmtId="0" fontId="0" fillId="2" borderId="7" xfId="0" applyFill="1" applyBorder="1"/>
    <xf numFmtId="0" fontId="0" fillId="2" borderId="18" xfId="0" applyFill="1" applyBorder="1"/>
    <xf numFmtId="38" fontId="0" fillId="2" borderId="16" xfId="0" applyNumberFormat="1" applyFill="1" applyBorder="1"/>
    <xf numFmtId="38" fontId="0" fillId="0" borderId="14" xfId="0" applyNumberFormat="1" applyBorder="1"/>
    <xf numFmtId="38" fontId="0" fillId="0" borderId="16" xfId="0" applyNumberFormat="1" applyBorder="1"/>
    <xf numFmtId="38" fontId="0" fillId="5" borderId="13" xfId="0" applyNumberFormat="1" applyFill="1" applyBorder="1" applyAlignment="1">
      <alignment horizontal="center"/>
    </xf>
    <xf numFmtId="38" fontId="0" fillId="5" borderId="0" xfId="0" applyNumberFormat="1" applyFill="1" applyAlignment="1">
      <alignment horizontal="center"/>
    </xf>
    <xf numFmtId="38" fontId="3" fillId="5" borderId="13" xfId="0" applyNumberFormat="1" applyFont="1" applyFill="1" applyBorder="1"/>
    <xf numFmtId="38" fontId="3" fillId="5" borderId="0" xfId="0" applyNumberFormat="1" applyFont="1" applyFill="1"/>
    <xf numFmtId="38" fontId="1" fillId="5" borderId="8" xfId="0" applyNumberFormat="1" applyFont="1" applyFill="1" applyBorder="1"/>
    <xf numFmtId="0" fontId="2" fillId="0" borderId="16" xfId="0" applyFont="1" applyBorder="1"/>
    <xf numFmtId="38" fontId="0" fillId="0" borderId="18" xfId="0" applyNumberFormat="1" applyBorder="1"/>
    <xf numFmtId="0" fontId="2" fillId="0" borderId="22" xfId="0" applyFont="1" applyBorder="1"/>
    <xf numFmtId="0" fontId="0" fillId="0" borderId="30" xfId="0" applyBorder="1"/>
    <xf numFmtId="38" fontId="0" fillId="0" borderId="10" xfId="0" applyNumberFormat="1" applyBorder="1"/>
    <xf numFmtId="38" fontId="1" fillId="0" borderId="25" xfId="0" applyNumberFormat="1" applyFont="1" applyBorder="1"/>
    <xf numFmtId="0" fontId="0" fillId="2" borderId="16" xfId="0" applyFill="1" applyBorder="1"/>
    <xf numFmtId="10" fontId="0" fillId="5" borderId="21" xfId="0" applyNumberFormat="1" applyFill="1" applyBorder="1"/>
    <xf numFmtId="2" fontId="0" fillId="0" borderId="21" xfId="0" applyNumberFormat="1" applyBorder="1"/>
    <xf numFmtId="0" fontId="0" fillId="5" borderId="19" xfId="0" applyFill="1" applyBorder="1"/>
    <xf numFmtId="0" fontId="3" fillId="0" borderId="19" xfId="0" applyFont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0" xfId="0" applyAlignment="1">
      <alignment horizontal="right"/>
    </xf>
    <xf numFmtId="164" fontId="3" fillId="0" borderId="21" xfId="0" applyNumberFormat="1" applyFont="1" applyBorder="1"/>
    <xf numFmtId="164" fontId="0" fillId="0" borderId="21" xfId="0" applyNumberFormat="1" applyBorder="1"/>
    <xf numFmtId="164" fontId="3" fillId="0" borderId="22" xfId="0" applyNumberFormat="1" applyFont="1" applyBorder="1"/>
    <xf numFmtId="0" fontId="6" fillId="7" borderId="15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7" borderId="0" xfId="0" applyFont="1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5" fillId="7" borderId="6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38" fontId="0" fillId="3" borderId="0" xfId="0" applyNumberFormat="1" applyFill="1"/>
    <xf numFmtId="38" fontId="0" fillId="0" borderId="12" xfId="0" applyNumberFormat="1" applyBorder="1"/>
    <xf numFmtId="38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16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157A6E-2B81-7FE2-D2C2-3CECCCC5AA65}"/>
            </a:ext>
          </a:extLst>
        </xdr:cNvPr>
        <xdr:cNvSpPr txBox="1"/>
      </xdr:nvSpPr>
      <xdr:spPr>
        <a:xfrm>
          <a:off x="8540750" y="312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9</xdr:row>
      <xdr:rowOff>56443</xdr:rowOff>
    </xdr:from>
    <xdr:to>
      <xdr:col>17</xdr:col>
      <xdr:colOff>112890</xdr:colOff>
      <xdr:row>30</xdr:row>
      <xdr:rowOff>98777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475EDD-860F-757A-D78B-6928BE552EA1}"/>
            </a:ext>
          </a:extLst>
        </xdr:cNvPr>
        <xdr:cNvSpPr txBox="1"/>
      </xdr:nvSpPr>
      <xdr:spPr>
        <a:xfrm>
          <a:off x="7281334" y="1834443"/>
          <a:ext cx="5531556" cy="419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1. Base Scenario </a:t>
          </a:r>
          <a:r>
            <a:rPr lang="en-US" sz="1100"/>
            <a:t>--&gt; reflects the majority of the current consensus estimates. Revenues are expected to decline modestly in 2025 (–4%) due to a cyclical downturn in demand, followed by a sharp recovery in 2026 (+44%) as industry capacity expansion resumes. Growth normalizes in 2027 (+14%) and gradually converges to more sustainable long-term levels of +6% in 2028 and +4% in 2029, consistent with the company’s structural outlook.</a:t>
          </a:r>
        </a:p>
        <a:p>
          <a:endParaRPr lang="en-US" sz="1100"/>
        </a:p>
        <a:p>
          <a:r>
            <a:rPr lang="en-US" sz="1100" b="1"/>
            <a:t>2.</a:t>
          </a:r>
          <a:r>
            <a:rPr lang="en-US" sz="1100" b="1" baseline="0"/>
            <a:t> Upside Scenario </a:t>
          </a:r>
          <a:r>
            <a:rPr lang="en-US" sz="1100" baseline="0"/>
            <a:t>--&gt; </a:t>
          </a:r>
          <a:r>
            <a:rPr lang="en-US"/>
            <a:t>The Upside Case assumes a faster and stronger recovery than consensus. Demand rebounds earlier, with revenues already growing in 2025 (+16%), accelerating further in 2026–2027 (+43% and +25%, respectively). Beyond the cycle, growth moderates to +12% in 2028 and +6% in 2029, supported by stronger adoption of advanced packaging technologies and higher long-term market share.</a:t>
          </a:r>
        </a:p>
        <a:p>
          <a:endParaRPr lang="en-US" sz="1100"/>
        </a:p>
        <a:p>
          <a:r>
            <a:rPr lang="en-US" sz="1100" b="1"/>
            <a:t>3.</a:t>
          </a:r>
          <a:r>
            <a:rPr lang="en-US" sz="1100" b="1" baseline="0"/>
            <a:t> Downside Scenario 1 </a:t>
          </a:r>
          <a:r>
            <a:rPr lang="en-US" sz="1100" baseline="0"/>
            <a:t>--&gt; </a:t>
          </a:r>
          <a:r>
            <a:rPr lang="en-US"/>
            <a:t>The Downside Cases model a weaker rebound. In 2025, revenues contract more severely (–6%), and the recovery in 2026 is muted (+12%), with only modest growth in 2027 (+15%). Thereafter, revenues stabilize at +6% in 2028 and +3% in 2029. This reflects a prolonged industry downturn and slower-than-expected adoption of advanced packaging solutions.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4. Downside Scenario 2 </a:t>
          </a:r>
          <a:r>
            <a:rPr lang="en-US" sz="1100"/>
            <a:t>--&gt; </a:t>
          </a:r>
          <a:r>
            <a:rPr lang="en-US"/>
            <a:t>This stress scenario models a prolonged industry downturn with only a very muted recovery. Revenues fall by –6% in 2025, grow by just +5% in 2026, and remain subdued at +7% in 2027. Growth stabilizes at low levels (+5% in 2028, +3% in 2029). This represents a scenario where the semiconductor cycle remains depressed for longer and structural drivers fail to materialize.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6"/>
  <sheetViews>
    <sheetView showGridLines="0" zoomScale="75" workbookViewId="0">
      <selection activeCell="N44" sqref="N44"/>
    </sheetView>
  </sheetViews>
  <sheetFormatPr baseColWidth="10" defaultColWidth="8.83203125" defaultRowHeight="15" x14ac:dyDescent="0.2"/>
  <cols>
    <col min="1" max="1" width="2.83203125" customWidth="1"/>
    <col min="2" max="2" width="11" bestFit="1" customWidth="1"/>
    <col min="3" max="3" width="26.5" bestFit="1" customWidth="1"/>
    <col min="4" max="4" width="5.6640625" customWidth="1"/>
    <col min="5" max="5" width="25.83203125" bestFit="1" customWidth="1"/>
    <col min="6" max="6" width="8.83203125" style="3" customWidth="1"/>
    <col min="8" max="8" width="12.5" bestFit="1" customWidth="1"/>
    <col min="9" max="9" width="2" customWidth="1"/>
    <col min="10" max="10" width="2.6640625" customWidth="1"/>
    <col min="11" max="11" width="3.1640625" customWidth="1"/>
    <col min="12" max="12" width="3.6640625" customWidth="1"/>
    <col min="13" max="14" width="2.83203125" customWidth="1"/>
    <col min="15" max="15" width="4" customWidth="1"/>
    <col min="16" max="16" width="34" bestFit="1" customWidth="1"/>
    <col min="17" max="17" width="8.83203125" customWidth="1"/>
    <col min="18" max="19" width="13.5" bestFit="1" customWidth="1"/>
    <col min="20" max="20" width="12.33203125" customWidth="1"/>
  </cols>
  <sheetData>
    <row r="2" spans="2:20" x14ac:dyDescent="0.2">
      <c r="B2" s="179" t="s">
        <v>0</v>
      </c>
      <c r="C2" s="180" t="s">
        <v>1</v>
      </c>
      <c r="E2" s="187" t="s">
        <v>2</v>
      </c>
      <c r="F2" s="195">
        <v>2022</v>
      </c>
      <c r="G2" s="193">
        <v>2023</v>
      </c>
      <c r="H2" s="194">
        <v>2024</v>
      </c>
      <c r="P2" s="187" t="s">
        <v>3</v>
      </c>
      <c r="Q2" s="209">
        <v>2022</v>
      </c>
      <c r="R2" s="193">
        <v>2023</v>
      </c>
      <c r="S2" s="194">
        <v>2024</v>
      </c>
    </row>
    <row r="3" spans="2:20" x14ac:dyDescent="0.2">
      <c r="B3" s="181" t="s">
        <v>4</v>
      </c>
      <c r="C3" s="182" t="s">
        <v>5</v>
      </c>
      <c r="E3" s="205" t="s">
        <v>6</v>
      </c>
      <c r="F3" s="196"/>
      <c r="G3" s="23"/>
      <c r="H3" s="75"/>
      <c r="P3" s="30" t="s">
        <v>7</v>
      </c>
      <c r="Q3" s="63">
        <v>722870</v>
      </c>
      <c r="R3" s="104">
        <v>578862</v>
      </c>
      <c r="S3" s="24">
        <v>607473</v>
      </c>
      <c r="T3" s="3"/>
    </row>
    <row r="4" spans="2:20" x14ac:dyDescent="0.2">
      <c r="B4" s="181" t="s">
        <v>8</v>
      </c>
      <c r="C4" s="182" t="s">
        <v>9</v>
      </c>
      <c r="E4" s="30" t="s">
        <v>10</v>
      </c>
      <c r="F4" s="63">
        <v>491686</v>
      </c>
      <c r="G4" s="104">
        <v>188477</v>
      </c>
      <c r="H4" s="24">
        <v>342319</v>
      </c>
      <c r="P4" s="30" t="s">
        <v>11</v>
      </c>
      <c r="Q4" s="63">
        <v>279797</v>
      </c>
      <c r="R4" s="104">
        <v>203074</v>
      </c>
      <c r="S4" s="24">
        <v>211529</v>
      </c>
    </row>
    <row r="5" spans="2:20" x14ac:dyDescent="0.2">
      <c r="B5" s="181" t="s">
        <v>12</v>
      </c>
      <c r="C5" s="182" t="s">
        <v>13</v>
      </c>
      <c r="E5" s="30" t="s">
        <v>14</v>
      </c>
      <c r="F5" s="63">
        <v>180000</v>
      </c>
      <c r="G5" s="104">
        <v>225000</v>
      </c>
      <c r="H5" s="24">
        <v>330000</v>
      </c>
      <c r="P5" s="188" t="s">
        <v>15</v>
      </c>
      <c r="Q5" s="64">
        <f>Q3-Q4</f>
        <v>443073</v>
      </c>
      <c r="R5" s="8">
        <f>R3-R4</f>
        <v>375788</v>
      </c>
      <c r="S5" s="17">
        <f>S3-S4</f>
        <v>395944</v>
      </c>
    </row>
    <row r="6" spans="2:20" x14ac:dyDescent="0.2">
      <c r="B6" s="181" t="s">
        <v>16</v>
      </c>
      <c r="C6" s="183" t="s">
        <v>121</v>
      </c>
      <c r="E6" s="30" t="s">
        <v>17</v>
      </c>
      <c r="F6" s="63">
        <v>148333</v>
      </c>
      <c r="G6" s="104">
        <v>143218</v>
      </c>
      <c r="H6" s="24">
        <v>181862</v>
      </c>
      <c r="P6" s="30"/>
      <c r="Q6" s="56"/>
      <c r="R6" s="3"/>
      <c r="S6" s="16"/>
    </row>
    <row r="7" spans="2:20" x14ac:dyDescent="0.2">
      <c r="B7" s="181" t="s">
        <v>18</v>
      </c>
      <c r="C7" s="182" t="s">
        <v>19</v>
      </c>
      <c r="D7" s="2"/>
      <c r="E7" s="30" t="s">
        <v>20</v>
      </c>
      <c r="F7" s="63">
        <v>92117</v>
      </c>
      <c r="G7" s="104">
        <v>92505</v>
      </c>
      <c r="H7" s="24">
        <v>103285</v>
      </c>
      <c r="P7" s="30" t="s">
        <v>21</v>
      </c>
      <c r="Q7" s="63">
        <v>95012</v>
      </c>
      <c r="R7" s="104">
        <v>105956</v>
      </c>
      <c r="S7" s="24">
        <v>126048</v>
      </c>
    </row>
    <row r="8" spans="2:20" x14ac:dyDescent="0.2">
      <c r="B8" s="181" t="s">
        <v>22</v>
      </c>
      <c r="C8" s="184"/>
      <c r="E8" s="30" t="s">
        <v>23</v>
      </c>
      <c r="F8" s="63">
        <v>3554</v>
      </c>
      <c r="G8" s="104">
        <v>5956</v>
      </c>
      <c r="H8" s="24">
        <v>8594</v>
      </c>
      <c r="P8" s="30" t="s">
        <v>24</v>
      </c>
      <c r="Q8" s="63">
        <v>53945</v>
      </c>
      <c r="R8" s="104">
        <v>56440</v>
      </c>
      <c r="S8" s="24">
        <v>74305</v>
      </c>
    </row>
    <row r="9" spans="2:20" x14ac:dyDescent="0.2">
      <c r="B9" s="185" t="s">
        <v>25</v>
      </c>
      <c r="C9" s="186">
        <v>81.889906999999994</v>
      </c>
      <c r="E9" s="30" t="s">
        <v>26</v>
      </c>
      <c r="F9" s="63">
        <v>18099</v>
      </c>
      <c r="G9" s="104">
        <v>28899</v>
      </c>
      <c r="H9" s="24">
        <v>27741</v>
      </c>
      <c r="P9" s="30" t="s">
        <v>27</v>
      </c>
      <c r="Q9" s="200">
        <f>Q7+Q8</f>
        <v>148957</v>
      </c>
      <c r="R9" s="104">
        <f>R7+R8</f>
        <v>162396</v>
      </c>
      <c r="S9" s="24">
        <f>S7+S8</f>
        <v>200353</v>
      </c>
    </row>
    <row r="10" spans="2:20" x14ac:dyDescent="0.2">
      <c r="E10" s="30" t="s">
        <v>28</v>
      </c>
      <c r="F10" s="63">
        <v>2909</v>
      </c>
      <c r="G10" s="104">
        <v>4237</v>
      </c>
      <c r="H10" s="24">
        <v>4592</v>
      </c>
      <c r="P10" s="188" t="s">
        <v>29</v>
      </c>
      <c r="Q10" s="64">
        <f>Q5-Q9</f>
        <v>294116</v>
      </c>
      <c r="R10" s="8">
        <f>R5-R9</f>
        <v>213392</v>
      </c>
      <c r="S10" s="17">
        <f>S5-S9</f>
        <v>195591</v>
      </c>
    </row>
    <row r="11" spans="2:20" x14ac:dyDescent="0.2">
      <c r="E11" s="188" t="s">
        <v>30</v>
      </c>
      <c r="F11" s="64">
        <f>SUM(F4:F10)</f>
        <v>936698</v>
      </c>
      <c r="G11" s="11">
        <f>SUM(G4:G10)</f>
        <v>688292</v>
      </c>
      <c r="H11" s="17">
        <f>SUM(H4:H10)</f>
        <v>998393</v>
      </c>
      <c r="P11" s="30"/>
      <c r="Q11" s="56"/>
      <c r="R11" s="3"/>
      <c r="S11" s="16"/>
    </row>
    <row r="12" spans="2:20" x14ac:dyDescent="0.2">
      <c r="E12" s="30"/>
      <c r="F12" s="56"/>
      <c r="G12" s="3"/>
      <c r="H12" s="16"/>
      <c r="P12" s="30" t="s">
        <v>31</v>
      </c>
      <c r="Q12" s="63">
        <v>1634</v>
      </c>
      <c r="R12" s="104">
        <v>13034</v>
      </c>
      <c r="S12" s="24">
        <v>17313</v>
      </c>
    </row>
    <row r="13" spans="2:20" x14ac:dyDescent="0.2">
      <c r="E13" s="30" t="s">
        <v>32</v>
      </c>
      <c r="F13" s="63">
        <v>33272</v>
      </c>
      <c r="G13" s="104">
        <v>37516</v>
      </c>
      <c r="H13" s="24">
        <v>44773</v>
      </c>
      <c r="P13" s="30" t="s">
        <v>33</v>
      </c>
      <c r="Q13" s="63">
        <v>-20260</v>
      </c>
      <c r="R13" s="104">
        <v>-18737</v>
      </c>
      <c r="S13" s="24">
        <v>-24384</v>
      </c>
    </row>
    <row r="14" spans="2:20" x14ac:dyDescent="0.2">
      <c r="E14" s="30" t="s">
        <v>34</v>
      </c>
      <c r="F14" s="63">
        <v>17480</v>
      </c>
      <c r="G14" s="104">
        <v>18242</v>
      </c>
      <c r="H14" s="24">
        <v>15726</v>
      </c>
      <c r="P14" s="206" t="s">
        <v>35</v>
      </c>
      <c r="Q14" s="62">
        <f>Q12+Q13</f>
        <v>-18626</v>
      </c>
      <c r="R14" s="9">
        <f>R12+R13</f>
        <v>-5703</v>
      </c>
      <c r="S14" s="207">
        <f>S12+S13</f>
        <v>-7071</v>
      </c>
    </row>
    <row r="15" spans="2:20" x14ac:dyDescent="0.2">
      <c r="E15" s="30" t="s">
        <v>36</v>
      </c>
      <c r="F15" s="63">
        <v>45746</v>
      </c>
      <c r="G15" s="104">
        <v>45402</v>
      </c>
      <c r="H15" s="24">
        <v>46010</v>
      </c>
      <c r="P15" s="30"/>
      <c r="Q15" s="56"/>
      <c r="R15" s="3"/>
      <c r="S15" s="16"/>
    </row>
    <row r="16" spans="2:20" x14ac:dyDescent="0.2">
      <c r="E16" s="30" t="s">
        <v>37</v>
      </c>
      <c r="F16" s="63">
        <v>81218</v>
      </c>
      <c r="G16" s="104">
        <v>93668</v>
      </c>
      <c r="H16" s="24">
        <v>96677</v>
      </c>
      <c r="P16" s="103" t="s">
        <v>38</v>
      </c>
      <c r="Q16" s="63">
        <f>Q10+Q14</f>
        <v>275490</v>
      </c>
      <c r="R16" s="104">
        <f>R10+R14</f>
        <v>207689</v>
      </c>
      <c r="S16" s="24">
        <f>S10+S14</f>
        <v>188520</v>
      </c>
    </row>
    <row r="17" spans="5:20" x14ac:dyDescent="0.2">
      <c r="E17" s="30" t="s">
        <v>39</v>
      </c>
      <c r="F17" s="63">
        <v>19563</v>
      </c>
      <c r="G17" s="104">
        <v>12217</v>
      </c>
      <c r="H17" s="24">
        <v>31567</v>
      </c>
      <c r="P17" s="30" t="s">
        <v>40</v>
      </c>
      <c r="Q17" s="63">
        <v>34843</v>
      </c>
      <c r="R17" s="104">
        <v>30605</v>
      </c>
      <c r="S17" s="24">
        <v>6528</v>
      </c>
    </row>
    <row r="18" spans="5:20" x14ac:dyDescent="0.2">
      <c r="E18" s="30" t="s">
        <v>41</v>
      </c>
      <c r="F18" s="63">
        <v>1213</v>
      </c>
      <c r="G18" s="104">
        <v>1216</v>
      </c>
      <c r="H18" s="24">
        <v>1330</v>
      </c>
      <c r="P18" s="190" t="s">
        <v>42</v>
      </c>
      <c r="Q18" s="114">
        <f>Q16-Q17</f>
        <v>240647</v>
      </c>
      <c r="R18" s="208">
        <f>R16-R17</f>
        <v>177084</v>
      </c>
      <c r="S18" s="192">
        <f>S16-S17</f>
        <v>181992</v>
      </c>
    </row>
    <row r="19" spans="5:20" x14ac:dyDescent="0.2">
      <c r="E19" s="188" t="s">
        <v>43</v>
      </c>
      <c r="F19" s="197">
        <f>SUM(F13:F18)</f>
        <v>198492</v>
      </c>
      <c r="G19" s="11">
        <f>SUM(G13:G18)</f>
        <v>208261</v>
      </c>
      <c r="H19" s="17">
        <f>SUM(H13:H18)</f>
        <v>236083</v>
      </c>
    </row>
    <row r="20" spans="5:20" x14ac:dyDescent="0.2">
      <c r="E20" s="188" t="s">
        <v>44</v>
      </c>
      <c r="F20" s="65">
        <f>F19+F11</f>
        <v>1135190</v>
      </c>
      <c r="G20" s="11">
        <f>SUM(G19+G11)</f>
        <v>896553</v>
      </c>
      <c r="H20" s="17">
        <f>H19+H11</f>
        <v>1234476</v>
      </c>
    </row>
    <row r="21" spans="5:20" x14ac:dyDescent="0.2">
      <c r="E21" s="30"/>
      <c r="F21" s="56"/>
      <c r="H21" s="19"/>
      <c r="P21" s="100" t="s">
        <v>226</v>
      </c>
      <c r="Q21" s="46">
        <v>2022</v>
      </c>
      <c r="R21" s="46">
        <v>2023</v>
      </c>
      <c r="S21" s="74">
        <v>2024</v>
      </c>
      <c r="T21" s="127" t="s">
        <v>228</v>
      </c>
    </row>
    <row r="22" spans="5:20" x14ac:dyDescent="0.2">
      <c r="E22" s="203" t="s">
        <v>45</v>
      </c>
      <c r="F22" s="197"/>
      <c r="G22" s="46"/>
      <c r="H22" s="74"/>
      <c r="P22" s="76" t="s">
        <v>227</v>
      </c>
      <c r="Q22" s="28">
        <f>Q4/Q3</f>
        <v>0.38706406407791166</v>
      </c>
      <c r="R22" s="28">
        <f t="shared" ref="R22:S22" si="0">R4/R3</f>
        <v>0.35081591121890882</v>
      </c>
      <c r="S22" s="53">
        <f t="shared" si="0"/>
        <v>0.34821136083414406</v>
      </c>
      <c r="T22" s="53">
        <f>AVERAGE(Q22:S22)</f>
        <v>0.3620304453769882</v>
      </c>
    </row>
    <row r="23" spans="5:20" x14ac:dyDescent="0.2">
      <c r="E23" s="30" t="s">
        <v>46</v>
      </c>
      <c r="F23" s="198" t="s">
        <v>122</v>
      </c>
      <c r="G23" s="199" t="s">
        <v>122</v>
      </c>
      <c r="H23" s="24">
        <v>776</v>
      </c>
      <c r="P23" s="77" t="s">
        <v>145</v>
      </c>
      <c r="Q23" s="28">
        <f>Q7/Q3</f>
        <v>0.13143718787610498</v>
      </c>
      <c r="R23" s="28">
        <f t="shared" ref="R23:S23" si="1">R7/R3</f>
        <v>0.18304189945099178</v>
      </c>
      <c r="S23" s="53">
        <f t="shared" si="1"/>
        <v>0.20749564178161004</v>
      </c>
      <c r="T23" s="53">
        <f t="shared" ref="T23:T26" si="2">AVERAGE(Q23:S23)</f>
        <v>0.17399157636956894</v>
      </c>
    </row>
    <row r="24" spans="5:20" x14ac:dyDescent="0.2">
      <c r="E24" s="189" t="s">
        <v>47</v>
      </c>
      <c r="F24" s="63">
        <v>2361</v>
      </c>
      <c r="G24" s="104">
        <v>3144</v>
      </c>
      <c r="H24" s="24">
        <v>2042</v>
      </c>
      <c r="P24" s="77" t="s">
        <v>15</v>
      </c>
      <c r="Q24" s="28">
        <f>Q5/Q3</f>
        <v>0.61293593592208839</v>
      </c>
      <c r="R24" s="28">
        <f t="shared" ref="R24:S24" si="3">R5/R3</f>
        <v>0.64918408878109113</v>
      </c>
      <c r="S24" s="53">
        <f t="shared" si="3"/>
        <v>0.65178863916585594</v>
      </c>
      <c r="T24" s="53">
        <f t="shared" si="2"/>
        <v>0.63796955462301186</v>
      </c>
    </row>
    <row r="25" spans="5:20" x14ac:dyDescent="0.2">
      <c r="E25" s="30" t="s">
        <v>48</v>
      </c>
      <c r="F25" s="63">
        <v>41431</v>
      </c>
      <c r="G25" s="104">
        <v>46889</v>
      </c>
      <c r="H25" s="24">
        <v>52630</v>
      </c>
      <c r="P25" s="77" t="s">
        <v>77</v>
      </c>
      <c r="Q25" s="28">
        <f>Q10/Q3</f>
        <v>0.40687260503271683</v>
      </c>
      <c r="R25" s="28">
        <f t="shared" ref="R25:S25" si="4">R10/R3</f>
        <v>0.36864053954137599</v>
      </c>
      <c r="S25" s="53">
        <f t="shared" si="4"/>
        <v>0.32197480381844129</v>
      </c>
      <c r="T25" s="53">
        <f t="shared" si="2"/>
        <v>0.36582931613084474</v>
      </c>
    </row>
    <row r="26" spans="5:20" x14ac:dyDescent="0.2">
      <c r="E26" s="30" t="s">
        <v>49</v>
      </c>
      <c r="F26" s="63">
        <v>21735</v>
      </c>
      <c r="G26" s="104">
        <v>16629</v>
      </c>
      <c r="H26" s="24">
        <v>21393</v>
      </c>
      <c r="P26" s="79" t="s">
        <v>225</v>
      </c>
      <c r="Q26" s="40">
        <f>DCF!C16/DCF!C6</f>
        <v>0.35867168370523056</v>
      </c>
      <c r="R26" s="40">
        <f>DCF!D16/DCF!D6</f>
        <v>0.31576956165718256</v>
      </c>
      <c r="S26" s="71">
        <f>DCF!E16/DCF!E6</f>
        <v>0.31122864719913479</v>
      </c>
      <c r="T26" s="71">
        <f t="shared" si="2"/>
        <v>0.32855663085384929</v>
      </c>
    </row>
    <row r="27" spans="5:20" x14ac:dyDescent="0.2">
      <c r="E27" s="30" t="s">
        <v>50</v>
      </c>
      <c r="F27" s="63">
        <v>5578</v>
      </c>
      <c r="G27" s="104">
        <v>4751</v>
      </c>
      <c r="H27" s="24">
        <v>5681</v>
      </c>
    </row>
    <row r="28" spans="5:20" x14ac:dyDescent="0.2">
      <c r="E28" s="30" t="s">
        <v>51</v>
      </c>
      <c r="F28" s="63">
        <v>3337</v>
      </c>
      <c r="G28" s="104">
        <v>3739</v>
      </c>
      <c r="H28" s="24">
        <v>3888</v>
      </c>
    </row>
    <row r="29" spans="5:20" x14ac:dyDescent="0.2">
      <c r="E29" s="30" t="s">
        <v>52</v>
      </c>
      <c r="F29" s="63">
        <v>42461</v>
      </c>
      <c r="G29" s="104">
        <v>37822</v>
      </c>
      <c r="H29" s="24">
        <v>57635</v>
      </c>
    </row>
    <row r="30" spans="5:20" x14ac:dyDescent="0.2">
      <c r="E30" s="30" t="s">
        <v>53</v>
      </c>
      <c r="F30" s="63">
        <v>26988</v>
      </c>
      <c r="G30" s="104">
        <v>24259</v>
      </c>
      <c r="H30" s="24">
        <v>22934</v>
      </c>
    </row>
    <row r="31" spans="5:20" x14ac:dyDescent="0.2">
      <c r="E31" s="188" t="s">
        <v>54</v>
      </c>
      <c r="F31" s="64">
        <f>SUM(F23:F30)</f>
        <v>143891</v>
      </c>
      <c r="G31" s="11">
        <f>SUM(G23:G30)</f>
        <v>137233</v>
      </c>
      <c r="H31" s="17">
        <f>SUM(H23:H30)</f>
        <v>166979</v>
      </c>
    </row>
    <row r="32" spans="5:20" x14ac:dyDescent="0.2">
      <c r="E32" s="103"/>
      <c r="F32" s="56"/>
      <c r="G32" s="3"/>
      <c r="H32" s="16"/>
    </row>
    <row r="33" spans="5:8" x14ac:dyDescent="0.2">
      <c r="E33" s="30" t="s">
        <v>55</v>
      </c>
      <c r="F33" s="63">
        <v>322815</v>
      </c>
      <c r="G33" s="104">
        <v>297353</v>
      </c>
      <c r="H33" s="24">
        <v>525653</v>
      </c>
    </row>
    <row r="34" spans="5:8" x14ac:dyDescent="0.2">
      <c r="E34" s="30" t="s">
        <v>51</v>
      </c>
      <c r="F34" s="63">
        <v>14372</v>
      </c>
      <c r="G34" s="104">
        <v>14924</v>
      </c>
      <c r="H34" s="24">
        <v>12350</v>
      </c>
    </row>
    <row r="35" spans="5:8" x14ac:dyDescent="0.2">
      <c r="E35" s="30" t="s">
        <v>56</v>
      </c>
      <c r="F35" s="63">
        <v>13303</v>
      </c>
      <c r="G35" s="104">
        <v>12959</v>
      </c>
      <c r="H35" s="24">
        <v>10320</v>
      </c>
    </row>
    <row r="36" spans="5:8" x14ac:dyDescent="0.2">
      <c r="E36" s="30" t="s">
        <v>50</v>
      </c>
      <c r="F36" s="63">
        <v>11347</v>
      </c>
      <c r="G36" s="104">
        <v>11972</v>
      </c>
      <c r="H36" s="24">
        <v>14355</v>
      </c>
    </row>
    <row r="37" spans="5:8" x14ac:dyDescent="0.2">
      <c r="E37" s="30" t="s">
        <v>57</v>
      </c>
      <c r="F37" s="63">
        <v>927</v>
      </c>
      <c r="G37" s="104">
        <v>699</v>
      </c>
      <c r="H37" s="24">
        <v>3555</v>
      </c>
    </row>
    <row r="38" spans="5:8" x14ac:dyDescent="0.2">
      <c r="E38" s="188" t="s">
        <v>58</v>
      </c>
      <c r="F38" s="64">
        <f>SUM(F33:F37)</f>
        <v>362764</v>
      </c>
      <c r="G38" s="11">
        <f>SUM(G33:G37)</f>
        <v>337907</v>
      </c>
      <c r="H38" s="17">
        <f>SUM(H33:H37)</f>
        <v>566233</v>
      </c>
    </row>
    <row r="39" spans="5:8" x14ac:dyDescent="0.2">
      <c r="E39" s="30"/>
      <c r="F39" s="56"/>
      <c r="G39" s="3"/>
      <c r="H39" s="16"/>
    </row>
    <row r="40" spans="5:8" x14ac:dyDescent="0.2">
      <c r="E40" s="203" t="s">
        <v>59</v>
      </c>
      <c r="F40" s="197"/>
      <c r="G40" s="15"/>
      <c r="H40" s="204"/>
    </row>
    <row r="41" spans="5:8" x14ac:dyDescent="0.2">
      <c r="E41" s="30" t="s">
        <v>60</v>
      </c>
      <c r="F41" s="63">
        <v>811</v>
      </c>
      <c r="G41" s="104">
        <v>811</v>
      </c>
      <c r="H41" s="24">
        <v>811</v>
      </c>
    </row>
    <row r="42" spans="5:8" x14ac:dyDescent="0.2">
      <c r="E42" s="30" t="s">
        <v>61</v>
      </c>
      <c r="F42" s="63">
        <v>271350</v>
      </c>
      <c r="G42" s="104">
        <v>108144</v>
      </c>
      <c r="H42" s="24">
        <v>181433</v>
      </c>
    </row>
    <row r="43" spans="5:8" x14ac:dyDescent="0.2">
      <c r="E43" s="30" t="s">
        <v>62</v>
      </c>
      <c r="F43" s="63">
        <v>219389</v>
      </c>
      <c r="G43" s="104">
        <v>162779</v>
      </c>
      <c r="H43" s="24">
        <v>169998</v>
      </c>
    </row>
    <row r="44" spans="5:8" x14ac:dyDescent="0.2">
      <c r="E44" s="30" t="s">
        <v>63</v>
      </c>
      <c r="F44" s="63">
        <v>136985</v>
      </c>
      <c r="G44" s="104">
        <v>149679</v>
      </c>
      <c r="H44" s="24">
        <v>149022</v>
      </c>
    </row>
    <row r="45" spans="5:8" x14ac:dyDescent="0.2">
      <c r="E45" s="30" t="s">
        <v>64</v>
      </c>
      <c r="F45" s="200">
        <f>SUM(F41:F44)</f>
        <v>628535</v>
      </c>
      <c r="G45" s="201">
        <f>SUM(G41:G44)</f>
        <v>421413</v>
      </c>
      <c r="H45" s="202">
        <f>SUM(H41:H44)</f>
        <v>501264</v>
      </c>
    </row>
    <row r="46" spans="5:8" x14ac:dyDescent="0.2">
      <c r="E46" s="190" t="s">
        <v>65</v>
      </c>
      <c r="F46" s="114">
        <f>F45+F38+F31</f>
        <v>1135190</v>
      </c>
      <c r="G46" s="191">
        <f>G45+G38+G31</f>
        <v>896553</v>
      </c>
      <c r="H46" s="192">
        <f>H45+H38+H31</f>
        <v>1234476</v>
      </c>
    </row>
  </sheetData>
  <pageMargins left="0.7" right="0.7" top="0.75" bottom="0.75" header="0.3" footer="0.3"/>
  <ignoredErrors>
    <ignoredError sqref="G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9ED8-B755-4C97-BDCA-ED61585C2943}">
  <dimension ref="B1:V62"/>
  <sheetViews>
    <sheetView showGridLines="0" tabSelected="1" zoomScale="75" zoomScaleNormal="60" workbookViewId="0">
      <selection activeCell="E1" sqref="E1"/>
    </sheetView>
  </sheetViews>
  <sheetFormatPr baseColWidth="10" defaultColWidth="8.83203125" defaultRowHeight="15" x14ac:dyDescent="0.2"/>
  <cols>
    <col min="1" max="1" width="4.1640625" customWidth="1"/>
    <col min="2" max="2" width="31.6640625" bestFit="1" customWidth="1"/>
    <col min="3" max="4" width="13.5" bestFit="1" customWidth="1"/>
    <col min="5" max="5" width="14.83203125" bestFit="1" customWidth="1"/>
    <col min="6" max="6" width="8.83203125" customWidth="1"/>
    <col min="7" max="8" width="14.83203125" bestFit="1" customWidth="1"/>
    <col min="9" max="9" width="16.1640625" bestFit="1" customWidth="1"/>
    <col min="10" max="10" width="13.5" bestFit="1" customWidth="1"/>
    <col min="13" max="13" width="30.5" bestFit="1" customWidth="1"/>
    <col min="14" max="14" width="14.83203125" bestFit="1" customWidth="1"/>
    <col min="15" max="18" width="11.5" bestFit="1" customWidth="1"/>
    <col min="19" max="19" width="8.83203125" customWidth="1"/>
    <col min="20" max="20" width="12.1640625" bestFit="1" customWidth="1"/>
    <col min="21" max="21" width="11.5" bestFit="1" customWidth="1"/>
    <col min="22" max="22" width="13.5" bestFit="1" customWidth="1"/>
  </cols>
  <sheetData>
    <row r="1" spans="2:17" x14ac:dyDescent="0.2">
      <c r="B1" s="50" t="s">
        <v>66</v>
      </c>
      <c r="C1" s="10" t="s">
        <v>214</v>
      </c>
      <c r="E1" s="214">
        <v>2</v>
      </c>
    </row>
    <row r="2" spans="2:17" x14ac:dyDescent="0.2">
      <c r="B2" s="50" t="s">
        <v>67</v>
      </c>
      <c r="M2" s="228" t="s">
        <v>112</v>
      </c>
      <c r="N2" s="229"/>
      <c r="O2" s="229"/>
      <c r="P2" s="230"/>
    </row>
    <row r="3" spans="2:17" x14ac:dyDescent="0.2">
      <c r="B3" s="50" t="s">
        <v>68</v>
      </c>
      <c r="M3" s="99"/>
      <c r="N3" s="113">
        <v>2022</v>
      </c>
      <c r="O3" s="46">
        <v>2023</v>
      </c>
      <c r="P3" s="74">
        <v>2024</v>
      </c>
    </row>
    <row r="4" spans="2:17" x14ac:dyDescent="0.2">
      <c r="C4" s="231" t="s">
        <v>69</v>
      </c>
      <c r="D4" s="226"/>
      <c r="E4" s="227"/>
      <c r="F4" s="226" t="s">
        <v>70</v>
      </c>
      <c r="G4" s="226"/>
      <c r="H4" s="226"/>
      <c r="I4" s="226"/>
      <c r="J4" s="227"/>
      <c r="K4" s="4"/>
      <c r="M4" s="92" t="s">
        <v>143</v>
      </c>
      <c r="N4" s="30"/>
      <c r="P4" s="19"/>
    </row>
    <row r="5" spans="2:17" x14ac:dyDescent="0.2">
      <c r="C5" s="154">
        <v>2022</v>
      </c>
      <c r="D5" s="23">
        <v>2023</v>
      </c>
      <c r="E5" s="75">
        <v>2024</v>
      </c>
      <c r="F5" s="23">
        <v>2025</v>
      </c>
      <c r="G5" s="23">
        <v>2026</v>
      </c>
      <c r="H5" s="23">
        <v>2027</v>
      </c>
      <c r="I5" s="23">
        <v>2028</v>
      </c>
      <c r="J5" s="75">
        <v>2029</v>
      </c>
      <c r="M5" s="30" t="s">
        <v>73</v>
      </c>
      <c r="N5" s="56">
        <v>1609</v>
      </c>
      <c r="O5" s="3">
        <v>1491</v>
      </c>
      <c r="P5" s="16">
        <v>1592</v>
      </c>
    </row>
    <row r="6" spans="2:17" x14ac:dyDescent="0.2">
      <c r="B6" s="125" t="s">
        <v>71</v>
      </c>
      <c r="C6" s="155">
        <f>Financials!Q3</f>
        <v>722870</v>
      </c>
      <c r="D6" s="146">
        <f>Financials!R3</f>
        <v>578862</v>
      </c>
      <c r="E6" s="147">
        <f>Financials!S3</f>
        <v>607473</v>
      </c>
      <c r="F6" s="146">
        <f>E6*(1+F7)</f>
        <v>704668.67999999993</v>
      </c>
      <c r="G6" s="146">
        <f>F6*(1+G7)</f>
        <v>1007676.2123999998</v>
      </c>
      <c r="H6" s="146">
        <f>G6*(1+H7)</f>
        <v>1259595.2654999997</v>
      </c>
      <c r="I6" s="146">
        <f>H6*(1+I7)</f>
        <v>1410746.6973599999</v>
      </c>
      <c r="J6" s="147">
        <f>I6*(1+J7)</f>
        <v>1495391.4992016</v>
      </c>
      <c r="M6" s="30" t="s">
        <v>145</v>
      </c>
      <c r="N6" s="56">
        <v>4427</v>
      </c>
      <c r="O6" s="3">
        <v>5198</v>
      </c>
      <c r="P6" s="16">
        <v>5849</v>
      </c>
    </row>
    <row r="7" spans="2:17" x14ac:dyDescent="0.2">
      <c r="B7" s="132" t="s">
        <v>72</v>
      </c>
      <c r="C7" s="156" t="s">
        <v>122</v>
      </c>
      <c r="D7" s="21">
        <f>(D6-C6)/D6</f>
        <v>-0.24877777432272286</v>
      </c>
      <c r="E7" s="22">
        <f>(E6-D6)/E6</f>
        <v>4.7098389558054433E-2</v>
      </c>
      <c r="F7" s="21">
        <f>'Assumption 1'!D7</f>
        <v>0.16</v>
      </c>
      <c r="G7" s="21">
        <f>'Assumption 1'!E7</f>
        <v>0.43</v>
      </c>
      <c r="H7" s="21">
        <f>'Assumption 1'!F7</f>
        <v>0.25</v>
      </c>
      <c r="I7" s="21">
        <f>'Assumption 1'!G7</f>
        <v>0.12</v>
      </c>
      <c r="J7" s="22">
        <f>'Assumption 1'!H7</f>
        <v>0.06</v>
      </c>
      <c r="M7" s="30" t="s">
        <v>146</v>
      </c>
      <c r="N7" s="56">
        <v>654</v>
      </c>
      <c r="O7" s="3">
        <v>1018</v>
      </c>
      <c r="P7" s="16">
        <v>1939</v>
      </c>
    </row>
    <row r="8" spans="2:17" x14ac:dyDescent="0.2">
      <c r="B8" s="30" t="s">
        <v>73</v>
      </c>
      <c r="C8" s="63">
        <f>Financials!Q4</f>
        <v>279797</v>
      </c>
      <c r="D8" s="104">
        <f>Financials!R4</f>
        <v>203074</v>
      </c>
      <c r="E8" s="24">
        <f>Financials!S4</f>
        <v>211529</v>
      </c>
      <c r="F8" s="104">
        <f>F6-F9</f>
        <v>255090.06215999997</v>
      </c>
      <c r="G8" s="104">
        <f t="shared" ref="G8:J8" si="0">G6-G9</f>
        <v>302302.86372000002</v>
      </c>
      <c r="H8" s="104">
        <f t="shared" si="0"/>
        <v>440858.34292499989</v>
      </c>
      <c r="I8" s="104">
        <f t="shared" si="0"/>
        <v>510690.30444431992</v>
      </c>
      <c r="J8" s="24">
        <f t="shared" si="0"/>
        <v>541331.72271097917</v>
      </c>
      <c r="M8" s="93" t="s">
        <v>123</v>
      </c>
      <c r="N8" s="64">
        <f>SUM(N5:N7)</f>
        <v>6690</v>
      </c>
      <c r="O8" s="14">
        <f t="shared" ref="O8:P8" si="1">SUM(O5:O7)</f>
        <v>7707</v>
      </c>
      <c r="P8" s="20">
        <f t="shared" si="1"/>
        <v>9380</v>
      </c>
    </row>
    <row r="9" spans="2:17" x14ac:dyDescent="0.2">
      <c r="B9" s="103" t="s">
        <v>15</v>
      </c>
      <c r="C9" s="157">
        <f>C6-C8</f>
        <v>443073</v>
      </c>
      <c r="D9" s="8">
        <f>Financials!R5</f>
        <v>375788</v>
      </c>
      <c r="E9" s="17">
        <f>Financials!S5</f>
        <v>395944</v>
      </c>
      <c r="F9" s="11">
        <f>F6*F10</f>
        <v>449578.61783999996</v>
      </c>
      <c r="G9" s="11">
        <f t="shared" ref="G9:J9" si="2">G6*G10</f>
        <v>705373.34867999982</v>
      </c>
      <c r="H9" s="11">
        <f t="shared" si="2"/>
        <v>818736.92257499986</v>
      </c>
      <c r="I9" s="11">
        <f t="shared" si="2"/>
        <v>900056.39291567996</v>
      </c>
      <c r="J9" s="18">
        <f t="shared" si="2"/>
        <v>954059.7764906208</v>
      </c>
      <c r="M9" s="92" t="s">
        <v>144</v>
      </c>
      <c r="N9" s="56"/>
      <c r="O9" s="3"/>
      <c r="P9" s="16"/>
    </row>
    <row r="10" spans="2:17" x14ac:dyDescent="0.2">
      <c r="B10" s="132" t="s">
        <v>74</v>
      </c>
      <c r="C10" s="158">
        <f>(C9/C6)</f>
        <v>0.61293593592208839</v>
      </c>
      <c r="D10" s="21">
        <f t="shared" ref="D10:E10" si="3">(D9/D6)</f>
        <v>0.64918408878109113</v>
      </c>
      <c r="E10" s="22">
        <f t="shared" si="3"/>
        <v>0.65178863916585594</v>
      </c>
      <c r="F10" s="21">
        <f>'Assumption 1'!D13</f>
        <v>0.63800000000000001</v>
      </c>
      <c r="G10" s="21">
        <f>'Assumption 1'!E13</f>
        <v>0.7</v>
      </c>
      <c r="H10" s="21">
        <f>'Assumption 1'!F13</f>
        <v>0.65</v>
      </c>
      <c r="I10" s="21">
        <f>'Assumption 1'!G13</f>
        <v>0.63800000000000001</v>
      </c>
      <c r="J10" s="22">
        <f>'Assumption 1'!H13</f>
        <v>0.63800000000000001</v>
      </c>
      <c r="M10" s="30" t="s">
        <v>147</v>
      </c>
      <c r="N10" s="56">
        <v>11</v>
      </c>
      <c r="O10" s="3">
        <v>11</v>
      </c>
      <c r="P10" s="16">
        <v>5</v>
      </c>
    </row>
    <row r="11" spans="2:17" x14ac:dyDescent="0.2">
      <c r="B11" s="30" t="s">
        <v>75</v>
      </c>
      <c r="C11" s="63">
        <f>Financials!Q7</f>
        <v>95012</v>
      </c>
      <c r="D11" s="104">
        <f>Financials!R7</f>
        <v>105956</v>
      </c>
      <c r="E11" s="24">
        <f>Financials!S7</f>
        <v>126048</v>
      </c>
      <c r="F11" s="104"/>
      <c r="G11" s="104"/>
      <c r="H11" s="104"/>
      <c r="I11" s="104"/>
      <c r="J11" s="24"/>
      <c r="M11" s="30" t="s">
        <v>148</v>
      </c>
      <c r="N11" s="56">
        <v>451</v>
      </c>
      <c r="O11" s="3">
        <v>181</v>
      </c>
      <c r="P11" s="16">
        <v>169</v>
      </c>
    </row>
    <row r="12" spans="2:17" x14ac:dyDescent="0.2">
      <c r="B12" s="30" t="s">
        <v>229</v>
      </c>
      <c r="C12" s="63">
        <f>Financials!Q8</f>
        <v>53945</v>
      </c>
      <c r="D12" s="104">
        <f>Financials!R8</f>
        <v>56440</v>
      </c>
      <c r="E12" s="52">
        <f>Financials!S8</f>
        <v>74305</v>
      </c>
      <c r="F12" s="119"/>
      <c r="G12" s="119"/>
      <c r="H12" s="119"/>
      <c r="I12" s="119"/>
      <c r="J12" s="37"/>
      <c r="M12" s="30" t="s">
        <v>146</v>
      </c>
      <c r="N12" s="56">
        <v>11807</v>
      </c>
      <c r="O12" s="3">
        <v>13753</v>
      </c>
      <c r="P12" s="16">
        <v>15057</v>
      </c>
    </row>
    <row r="13" spans="2:17" x14ac:dyDescent="0.2">
      <c r="B13" s="103" t="s">
        <v>77</v>
      </c>
      <c r="C13" s="157">
        <f>C9-C11-C12</f>
        <v>294116</v>
      </c>
      <c r="D13" s="11">
        <f t="shared" ref="D13:E13" si="4">D9-D11-D12</f>
        <v>213392</v>
      </c>
      <c r="E13" s="20">
        <f t="shared" si="4"/>
        <v>195591</v>
      </c>
      <c r="F13" s="11">
        <f>F6*F14</f>
        <v>281867.47200000001</v>
      </c>
      <c r="G13" s="11">
        <f t="shared" ref="G13:J13" si="5">G6*G14</f>
        <v>453454.29557999992</v>
      </c>
      <c r="H13" s="11">
        <f t="shared" si="5"/>
        <v>529030.01150999987</v>
      </c>
      <c r="I13" s="11">
        <f t="shared" si="5"/>
        <v>564298.67894399993</v>
      </c>
      <c r="J13" s="18">
        <f t="shared" si="5"/>
        <v>568248.76969660795</v>
      </c>
      <c r="M13" s="93" t="s">
        <v>123</v>
      </c>
      <c r="N13" s="64">
        <f>SUM(N10:N12)</f>
        <v>12269</v>
      </c>
      <c r="O13" s="14">
        <f t="shared" ref="O13:P13" si="6">SUM(O10:O12)</f>
        <v>13945</v>
      </c>
      <c r="P13" s="20">
        <f t="shared" si="6"/>
        <v>15231</v>
      </c>
    </row>
    <row r="14" spans="2:17" x14ac:dyDescent="0.2">
      <c r="B14" s="132" t="s">
        <v>74</v>
      </c>
      <c r="C14" s="158">
        <f>(C13/C6)</f>
        <v>0.40687260503271683</v>
      </c>
      <c r="D14" s="21">
        <f>(D13/D6)</f>
        <v>0.36864053954137599</v>
      </c>
      <c r="E14" s="22">
        <f>(E13/E6)</f>
        <v>0.32197480381844129</v>
      </c>
      <c r="F14" s="21">
        <f>'Assumption 1'!D19</f>
        <v>0.4</v>
      </c>
      <c r="G14" s="21">
        <f>'Assumption 1'!E19</f>
        <v>0.45</v>
      </c>
      <c r="H14" s="21">
        <f>'Assumption 1'!F19</f>
        <v>0.42</v>
      </c>
      <c r="I14" s="21">
        <f>'Assumption 1'!G19</f>
        <v>0.4</v>
      </c>
      <c r="J14" s="22">
        <f>'Assumption 1'!H19</f>
        <v>0.38</v>
      </c>
      <c r="M14" s="30"/>
      <c r="N14" s="30"/>
      <c r="P14" s="19"/>
    </row>
    <row r="15" spans="2:17" x14ac:dyDescent="0.2">
      <c r="B15" s="30" t="s">
        <v>78</v>
      </c>
      <c r="C15" s="56">
        <f>Financials!Q17</f>
        <v>34843</v>
      </c>
      <c r="D15" s="3">
        <f>Financials!R17</f>
        <v>30605</v>
      </c>
      <c r="E15" s="16">
        <f>Financials!S17</f>
        <v>6528</v>
      </c>
      <c r="F15" s="21">
        <v>0.2356</v>
      </c>
      <c r="G15" s="21">
        <v>0.2356</v>
      </c>
      <c r="H15" s="21">
        <v>0.2356</v>
      </c>
      <c r="I15" s="21">
        <v>0.2356</v>
      </c>
      <c r="J15" s="22">
        <v>0.2356</v>
      </c>
      <c r="M15" s="30"/>
      <c r="N15" s="30"/>
      <c r="P15" s="19"/>
      <c r="Q15" s="165" t="s">
        <v>171</v>
      </c>
    </row>
    <row r="16" spans="2:17" x14ac:dyDescent="0.2">
      <c r="B16" s="103" t="s">
        <v>225</v>
      </c>
      <c r="C16" s="157">
        <f>C13-C15</f>
        <v>259273</v>
      </c>
      <c r="D16" s="11">
        <f>D13-D15</f>
        <v>182787</v>
      </c>
      <c r="E16" s="18">
        <f>E13-E15</f>
        <v>189063</v>
      </c>
      <c r="F16" s="11">
        <f>F13*(1-F15)</f>
        <v>215459.4955968</v>
      </c>
      <c r="G16" s="11">
        <f t="shared" ref="G16:J16" si="7">G13*(1-G15)</f>
        <v>346620.4635413519</v>
      </c>
      <c r="H16" s="11">
        <f t="shared" si="7"/>
        <v>404390.54079824389</v>
      </c>
      <c r="I16" s="11">
        <f t="shared" si="7"/>
        <v>431349.91018479352</v>
      </c>
      <c r="J16" s="18">
        <f t="shared" si="7"/>
        <v>434369.35955608712</v>
      </c>
      <c r="M16" s="93" t="s">
        <v>149</v>
      </c>
      <c r="N16" s="62">
        <v>-6780</v>
      </c>
      <c r="O16" s="13">
        <v>-6899</v>
      </c>
      <c r="P16" s="102">
        <v>-12039</v>
      </c>
      <c r="Q16" s="77"/>
    </row>
    <row r="17" spans="2:21" x14ac:dyDescent="0.2">
      <c r="B17" s="30"/>
      <c r="C17" s="30"/>
      <c r="E17" s="19"/>
      <c r="J17" s="19"/>
      <c r="M17" s="162" t="s">
        <v>233</v>
      </c>
      <c r="N17" s="66">
        <f>-N16/C6</f>
        <v>9.3792798151811525E-3</v>
      </c>
      <c r="O17" s="28">
        <f t="shared" ref="O17:P17" si="8">-O16/D6</f>
        <v>1.1918211939978786E-2</v>
      </c>
      <c r="P17" s="53">
        <f t="shared" si="8"/>
        <v>1.9818164757939859E-2</v>
      </c>
      <c r="Q17" s="166">
        <f>AVERAGE(N17:P17)</f>
        <v>1.3705218837699934E-2</v>
      </c>
    </row>
    <row r="18" spans="2:21" x14ac:dyDescent="0.2">
      <c r="B18" s="30" t="s">
        <v>79</v>
      </c>
      <c r="C18" s="56">
        <f>N8+N13</f>
        <v>18959</v>
      </c>
      <c r="D18" s="3">
        <f t="shared" ref="D18:E18" si="9">O8+O13</f>
        <v>21652</v>
      </c>
      <c r="E18" s="3">
        <f t="shared" si="9"/>
        <v>24611</v>
      </c>
      <c r="F18" s="56">
        <f>F6*'Assumption 1'!D25</f>
        <v>24452.003195999998</v>
      </c>
      <c r="G18" s="3">
        <f>G6*'Assumption 1'!E25</f>
        <v>45345.429557999989</v>
      </c>
      <c r="H18" s="3">
        <f>H6*'Assumption 1'!F25</f>
        <v>50383.810619999989</v>
      </c>
      <c r="I18" s="3">
        <f>I6*'Assumption 1'!G25</f>
        <v>49376.134407600002</v>
      </c>
      <c r="J18" s="16">
        <f>J6*'Assumption 1'!H25</f>
        <v>52338.702472056008</v>
      </c>
      <c r="M18" s="125"/>
      <c r="N18" s="125"/>
      <c r="O18" s="12"/>
      <c r="P18" s="35"/>
      <c r="Q18" s="165" t="s">
        <v>171</v>
      </c>
      <c r="R18" s="10"/>
    </row>
    <row r="19" spans="2:21" x14ac:dyDescent="0.2">
      <c r="B19" s="30" t="s">
        <v>80</v>
      </c>
      <c r="C19" s="56">
        <f>N16</f>
        <v>-6780</v>
      </c>
      <c r="D19" s="3">
        <f>O16</f>
        <v>-6899</v>
      </c>
      <c r="E19" s="16">
        <f>P16</f>
        <v>-12039</v>
      </c>
      <c r="F19" s="3">
        <f>-F6*'Assumption 1'!D32</f>
        <v>-9653.960916</v>
      </c>
      <c r="G19" s="3">
        <f>-G6*'Assumption 1'!E32</f>
        <v>-30230.286371999995</v>
      </c>
      <c r="H19" s="3">
        <f>-H6*'Assumption 1'!F32</f>
        <v>-25191.905309999995</v>
      </c>
      <c r="I19" s="3">
        <f>-I6*'Assumption 1'!G32</f>
        <v>-21161.200460399996</v>
      </c>
      <c r="J19" s="16">
        <f>-J6*'Assumption 1'!H32</f>
        <v>-22430.872488023997</v>
      </c>
      <c r="M19" s="168" t="s">
        <v>232</v>
      </c>
      <c r="N19" s="164">
        <f>(N13+N8)/C6</f>
        <v>2.6227399117407003E-2</v>
      </c>
      <c r="O19" s="40">
        <f>(O13+O8)/D6</f>
        <v>3.7404424543328117E-2</v>
      </c>
      <c r="P19" s="71">
        <f>(P13+P8)/E6</f>
        <v>4.0513734766812678E-2</v>
      </c>
      <c r="Q19" s="167">
        <f>AVERAGE(N19:P19)</f>
        <v>3.4715186142515932E-2</v>
      </c>
      <c r="R19" s="51"/>
    </row>
    <row r="20" spans="2:21" x14ac:dyDescent="0.2">
      <c r="B20" s="30" t="s">
        <v>81</v>
      </c>
      <c r="C20" s="159" t="s">
        <v>122</v>
      </c>
      <c r="D20" s="3">
        <f>-'Net Working Capital'!E20</f>
        <v>2366</v>
      </c>
      <c r="E20" s="16">
        <f>-'Net Working Capital'!F20</f>
        <v>-40447</v>
      </c>
      <c r="F20" s="3">
        <f>'Net Working Capital'!G20</f>
        <v>-33674.614569517056</v>
      </c>
      <c r="G20" s="3">
        <f>'Net Working Capital'!H20</f>
        <v>-36048.478496475873</v>
      </c>
      <c r="H20" s="3">
        <f>'Net Working Capital'!I20</f>
        <v>79247.888693090819</v>
      </c>
      <c r="I20" s="3">
        <f>'Net Working Capital'!J20</f>
        <v>24192.731142144854</v>
      </c>
      <c r="J20" s="16">
        <f>'Net Working Capital'!K20</f>
        <v>12388.411606154608</v>
      </c>
      <c r="N20" s="12"/>
      <c r="O20" s="12"/>
      <c r="Q20" s="46"/>
      <c r="R20" s="23"/>
    </row>
    <row r="21" spans="2:21" x14ac:dyDescent="0.2">
      <c r="B21" s="149" t="s">
        <v>82</v>
      </c>
      <c r="C21" s="112" t="s">
        <v>122</v>
      </c>
      <c r="D21" s="108">
        <f>D16+D18+D19+D20</f>
        <v>199906</v>
      </c>
      <c r="E21" s="110">
        <f>E16+E18+E19+E20</f>
        <v>161188</v>
      </c>
      <c r="F21" s="108">
        <f t="shared" ref="F21:J21" si="10">F16+F18+F19+F20</f>
        <v>196582.92330728294</v>
      </c>
      <c r="G21" s="108">
        <f t="shared" si="10"/>
        <v>325687.12823087606</v>
      </c>
      <c r="H21" s="108">
        <f t="shared" si="10"/>
        <v>508830.33480133471</v>
      </c>
      <c r="I21" s="108">
        <f t="shared" si="10"/>
        <v>483757.57527413836</v>
      </c>
      <c r="J21" s="110">
        <f t="shared" si="10"/>
        <v>476665.60114627378</v>
      </c>
      <c r="M21" s="75"/>
      <c r="N21" s="113">
        <v>2022</v>
      </c>
      <c r="O21" s="46">
        <v>2023</v>
      </c>
      <c r="P21" s="74">
        <v>2024</v>
      </c>
      <c r="Q21" s="113">
        <v>2025</v>
      </c>
      <c r="R21" s="46">
        <v>2026</v>
      </c>
      <c r="S21" s="46">
        <v>2027</v>
      </c>
      <c r="T21" s="46">
        <v>2028</v>
      </c>
      <c r="U21" s="74">
        <v>2029</v>
      </c>
    </row>
    <row r="22" spans="2:21" x14ac:dyDescent="0.2">
      <c r="B22" s="30" t="s">
        <v>83</v>
      </c>
      <c r="C22" s="160">
        <f>WACC!C23</f>
        <v>8.6316461078620371E-2</v>
      </c>
      <c r="E22" s="19"/>
      <c r="J22" s="19"/>
      <c r="M22" s="130" t="s">
        <v>238</v>
      </c>
      <c r="N22" s="152">
        <f>C13+C18</f>
        <v>313075</v>
      </c>
      <c r="O22" s="152">
        <f t="shared" ref="O22:U22" si="11">D13+D18</f>
        <v>235044</v>
      </c>
      <c r="P22" s="153">
        <f t="shared" si="11"/>
        <v>220202</v>
      </c>
      <c r="Q22" s="163">
        <f t="shared" si="11"/>
        <v>306319.47519600001</v>
      </c>
      <c r="R22" s="152">
        <f t="shared" si="11"/>
        <v>498799.72513799992</v>
      </c>
      <c r="S22" s="152">
        <f t="shared" si="11"/>
        <v>579413.82212999987</v>
      </c>
      <c r="T22" s="152">
        <f t="shared" si="11"/>
        <v>613674.81335159997</v>
      </c>
      <c r="U22" s="153">
        <f t="shared" si="11"/>
        <v>620587.47216866398</v>
      </c>
    </row>
    <row r="23" spans="2:21" x14ac:dyDescent="0.2">
      <c r="B23" s="30" t="s">
        <v>84</v>
      </c>
      <c r="C23" s="30"/>
      <c r="E23" s="19"/>
      <c r="F23">
        <v>1</v>
      </c>
      <c r="G23">
        <v>2</v>
      </c>
      <c r="H23">
        <v>3</v>
      </c>
      <c r="I23">
        <v>4</v>
      </c>
      <c r="J23" s="19">
        <v>5</v>
      </c>
    </row>
    <row r="24" spans="2:21" x14ac:dyDescent="0.2">
      <c r="B24" s="30" t="s">
        <v>193</v>
      </c>
      <c r="C24" s="30"/>
      <c r="F24" s="48">
        <f>1/((1+$C$22)^F23)</f>
        <v>0.92054206654208715</v>
      </c>
      <c r="G24" s="49">
        <f>1/((1+$C$22)^G23)</f>
        <v>0.84739769627357631</v>
      </c>
      <c r="H24" s="49">
        <f>1/((1+$C$22)^H23)</f>
        <v>0.78006522651068178</v>
      </c>
      <c r="I24" s="49">
        <f>1/((1+$C$22)^I23)</f>
        <v>0.71808285564976426</v>
      </c>
      <c r="J24" s="148">
        <f>1/((1+$C$22)^J23)</f>
        <v>0.6610254758882772</v>
      </c>
    </row>
    <row r="25" spans="2:21" x14ac:dyDescent="0.2">
      <c r="B25" s="149" t="s">
        <v>85</v>
      </c>
      <c r="C25" s="161"/>
      <c r="D25" s="150"/>
      <c r="E25" s="151"/>
      <c r="F25" s="152">
        <f>F21*F24</f>
        <v>180962.85046817086</v>
      </c>
      <c r="G25" s="152">
        <f t="shared" ref="G25:J25" si="12">G21*G24</f>
        <v>275986.52216880122</v>
      </c>
      <c r="H25" s="152">
        <f t="shared" si="12"/>
        <v>396920.85037230921</v>
      </c>
      <c r="I25" s="152">
        <f t="shared" si="12"/>
        <v>347378.02109505906</v>
      </c>
      <c r="J25" s="153">
        <f t="shared" si="12"/>
        <v>315088.10583728738</v>
      </c>
    </row>
    <row r="27" spans="2:21" x14ac:dyDescent="0.2">
      <c r="B27" s="232" t="s">
        <v>222</v>
      </c>
      <c r="C27" s="233"/>
    </row>
    <row r="28" spans="2:21" x14ac:dyDescent="0.2">
      <c r="B28" s="234" t="s">
        <v>196</v>
      </c>
      <c r="C28" s="235"/>
      <c r="M28" s="219" t="s">
        <v>200</v>
      </c>
      <c r="N28" s="220"/>
    </row>
    <row r="29" spans="2:21" x14ac:dyDescent="0.2">
      <c r="B29" s="92" t="s">
        <v>86</v>
      </c>
      <c r="C29" s="172">
        <f>SUM(F25:J25)</f>
        <v>1516336.3499416278</v>
      </c>
      <c r="M29" s="30" t="s">
        <v>201</v>
      </c>
      <c r="N29" s="16">
        <f>J21</f>
        <v>476665.60114627378</v>
      </c>
    </row>
    <row r="30" spans="2:21" x14ac:dyDescent="0.2">
      <c r="B30" s="30"/>
      <c r="C30" s="19"/>
      <c r="M30" s="30" t="s">
        <v>83</v>
      </c>
      <c r="N30" s="53">
        <f>C22</f>
        <v>8.6316461078620371E-2</v>
      </c>
    </row>
    <row r="31" spans="2:21" x14ac:dyDescent="0.2">
      <c r="B31" s="92" t="s">
        <v>194</v>
      </c>
      <c r="C31" s="19"/>
      <c r="M31" s="30" t="s">
        <v>241</v>
      </c>
      <c r="N31" s="16">
        <f>C34</f>
        <v>11170574.499035951</v>
      </c>
    </row>
    <row r="32" spans="2:21" x14ac:dyDescent="0.2">
      <c r="B32" s="125" t="s">
        <v>195</v>
      </c>
      <c r="C32" s="169">
        <f>U22</f>
        <v>620587.47216866398</v>
      </c>
      <c r="M32" s="30"/>
      <c r="N32" s="19"/>
    </row>
    <row r="33" spans="2:22" x14ac:dyDescent="0.2">
      <c r="B33" s="30" t="s">
        <v>196</v>
      </c>
      <c r="C33" s="121">
        <v>18</v>
      </c>
      <c r="D33" t="s">
        <v>239</v>
      </c>
      <c r="M33" s="29" t="s">
        <v>242</v>
      </c>
      <c r="N33" s="178">
        <f>((N31*N30)-N29)/(N31+N29)</f>
        <v>4.1858745387927949E-2</v>
      </c>
    </row>
    <row r="34" spans="2:22" x14ac:dyDescent="0.2">
      <c r="B34" s="92" t="s">
        <v>194</v>
      </c>
      <c r="C34" s="169">
        <f>C32*C33</f>
        <v>11170574.499035951</v>
      </c>
      <c r="D34" t="s">
        <v>259</v>
      </c>
    </row>
    <row r="35" spans="2:22" x14ac:dyDescent="0.2">
      <c r="B35" s="30" t="s">
        <v>193</v>
      </c>
      <c r="C35" s="170">
        <f>1/((1+$C$22)^J23)</f>
        <v>0.6610254758882772</v>
      </c>
      <c r="M35" s="222" t="s">
        <v>202</v>
      </c>
      <c r="N35" s="223"/>
    </row>
    <row r="36" spans="2:22" x14ac:dyDescent="0.2">
      <c r="B36" s="92" t="s">
        <v>197</v>
      </c>
      <c r="C36" s="171">
        <f>C34*C35</f>
        <v>7384034.3241706928</v>
      </c>
      <c r="M36" s="30" t="s">
        <v>199</v>
      </c>
      <c r="N36" s="16">
        <f>C49</f>
        <v>7279140.7377978209</v>
      </c>
    </row>
    <row r="37" spans="2:22" x14ac:dyDescent="0.2">
      <c r="B37" s="132" t="s">
        <v>198</v>
      </c>
      <c r="C37" s="77"/>
      <c r="M37" s="30" t="s">
        <v>203</v>
      </c>
      <c r="N37" s="24">
        <f>P22</f>
        <v>220202</v>
      </c>
      <c r="O37" t="s">
        <v>243</v>
      </c>
    </row>
    <row r="38" spans="2:22" x14ac:dyDescent="0.2">
      <c r="B38" s="30"/>
      <c r="C38" s="77"/>
      <c r="M38" s="30"/>
      <c r="N38" s="19"/>
      <c r="O38" t="s">
        <v>244</v>
      </c>
    </row>
    <row r="39" spans="2:22" x14ac:dyDescent="0.2">
      <c r="B39" s="29" t="s">
        <v>199</v>
      </c>
      <c r="C39" s="172">
        <f>C36+C29</f>
        <v>8900370.6741123199</v>
      </c>
      <c r="M39" s="29" t="s">
        <v>202</v>
      </c>
      <c r="N39" s="173">
        <f>N36/N37</f>
        <v>33.056651337398485</v>
      </c>
    </row>
    <row r="41" spans="2:22" x14ac:dyDescent="0.2">
      <c r="B41" s="236" t="s">
        <v>240</v>
      </c>
      <c r="C41" s="237"/>
    </row>
    <row r="42" spans="2:22" x14ac:dyDescent="0.2">
      <c r="B42" s="30" t="s">
        <v>201</v>
      </c>
      <c r="C42" s="171">
        <f>J21</f>
        <v>476665.60114627378</v>
      </c>
      <c r="M42" s="224" t="s">
        <v>204</v>
      </c>
      <c r="N42" s="225"/>
    </row>
    <row r="43" spans="2:22" x14ac:dyDescent="0.2">
      <c r="B43" s="30" t="s">
        <v>83</v>
      </c>
      <c r="C43" s="96">
        <f>C22</f>
        <v>8.6316461078620371E-2</v>
      </c>
      <c r="M43" s="30" t="s">
        <v>199</v>
      </c>
      <c r="N43" s="169">
        <f>C39</f>
        <v>8900370.6741123199</v>
      </c>
      <c r="S43" s="3"/>
    </row>
    <row r="44" spans="2:22" x14ac:dyDescent="0.2">
      <c r="B44" s="30" t="s">
        <v>212</v>
      </c>
      <c r="C44" s="174">
        <v>0.03</v>
      </c>
      <c r="M44" s="30" t="s">
        <v>205</v>
      </c>
      <c r="N44" s="171">
        <f>-(Financials!H23+Financials!H24+Financials!H28+Financials!H33+Financials!H34)</f>
        <v>-544709</v>
      </c>
    </row>
    <row r="45" spans="2:22" x14ac:dyDescent="0.2">
      <c r="B45" s="92" t="s">
        <v>240</v>
      </c>
      <c r="C45" s="173">
        <f>(1+C44)/(C43-C44)</f>
        <v>18.289501511149158</v>
      </c>
      <c r="M45" s="30" t="s">
        <v>206</v>
      </c>
      <c r="N45" s="77">
        <v>0</v>
      </c>
      <c r="S45" s="80"/>
      <c r="T45" s="1"/>
      <c r="V45" s="3"/>
    </row>
    <row r="46" spans="2:22" x14ac:dyDescent="0.2">
      <c r="B46" s="30" t="s">
        <v>194</v>
      </c>
      <c r="C46" s="171">
        <f>C42*C45</f>
        <v>8717976.232477596</v>
      </c>
      <c r="M46" s="30" t="s">
        <v>207</v>
      </c>
      <c r="N46" s="77">
        <v>0</v>
      </c>
      <c r="S46" s="1"/>
      <c r="T46" s="1"/>
      <c r="V46" s="3"/>
    </row>
    <row r="47" spans="2:22" x14ac:dyDescent="0.2">
      <c r="B47" s="30" t="s">
        <v>193</v>
      </c>
      <c r="C47" s="175">
        <f>J24</f>
        <v>0.6610254758882772</v>
      </c>
      <c r="M47" s="30" t="s">
        <v>208</v>
      </c>
      <c r="N47" s="176">
        <f>Financials!H4+Financials!H5</f>
        <v>672319</v>
      </c>
    </row>
    <row r="48" spans="2:22" x14ac:dyDescent="0.2">
      <c r="B48" s="92" t="s">
        <v>197</v>
      </c>
      <c r="C48" s="171">
        <f>C46*C47</f>
        <v>5762804.3878561929</v>
      </c>
      <c r="M48" s="30"/>
      <c r="N48" s="77"/>
    </row>
    <row r="49" spans="2:14" x14ac:dyDescent="0.2">
      <c r="B49" s="29" t="s">
        <v>199</v>
      </c>
      <c r="C49" s="172">
        <f>C48+C29</f>
        <v>7279140.7377978209</v>
      </c>
      <c r="M49" s="92" t="s">
        <v>209</v>
      </c>
      <c r="N49" s="172">
        <f>N43+N44+N45+N46+N47</f>
        <v>9027980.6741123199</v>
      </c>
    </row>
    <row r="50" spans="2:14" x14ac:dyDescent="0.2">
      <c r="M50" s="30" t="s">
        <v>210</v>
      </c>
      <c r="N50" s="171">
        <f>N62</f>
        <v>83129306.117168576</v>
      </c>
    </row>
    <row r="51" spans="2:14" x14ac:dyDescent="0.2">
      <c r="D51" s="219" t="s">
        <v>245</v>
      </c>
      <c r="E51" s="221"/>
      <c r="F51" s="221"/>
      <c r="G51" s="221"/>
      <c r="H51" s="221"/>
      <c r="I51" s="220"/>
      <c r="M51" s="30"/>
      <c r="N51" s="77"/>
    </row>
    <row r="52" spans="2:14" x14ac:dyDescent="0.2">
      <c r="D52" s="30"/>
      <c r="G52" t="s">
        <v>196</v>
      </c>
      <c r="I52" s="19"/>
      <c r="M52" s="29" t="s">
        <v>211</v>
      </c>
      <c r="N52" s="177">
        <f>(N49*1000)/N50</f>
        <v>108.60166042271084</v>
      </c>
    </row>
    <row r="53" spans="2:14" x14ac:dyDescent="0.2">
      <c r="D53" s="88">
        <f>C39</f>
        <v>8900370.6741123199</v>
      </c>
      <c r="E53" s="89">
        <v>11</v>
      </c>
      <c r="F53" s="89">
        <v>15</v>
      </c>
      <c r="G53" s="89">
        <v>18</v>
      </c>
      <c r="H53" s="89">
        <v>25</v>
      </c>
      <c r="I53" s="90">
        <v>40</v>
      </c>
    </row>
    <row r="54" spans="2:14" x14ac:dyDescent="0.2">
      <c r="D54" s="86">
        <v>6.6299999999999998E-2</v>
      </c>
      <c r="E54" s="3">
        <f t="dataTable" ref="E54:I58" dt2D="1" dtr="1" r1="C33" r2="C22"/>
        <v>6562705.4157447815</v>
      </c>
      <c r="F54" s="3">
        <v>8363507.3542778501</v>
      </c>
      <c r="G54" s="3">
        <v>9714108.80817765</v>
      </c>
      <c r="H54" s="3">
        <v>12865512.200610518</v>
      </c>
      <c r="I54" s="16">
        <v>19618519.470109526</v>
      </c>
      <c r="M54" s="219" t="s">
        <v>210</v>
      </c>
      <c r="N54" s="220"/>
    </row>
    <row r="55" spans="2:14" x14ac:dyDescent="0.2">
      <c r="D55" s="86">
        <v>7.6300000000000007E-2</v>
      </c>
      <c r="E55" s="3">
        <v>6288800.2829904659</v>
      </c>
      <c r="F55" s="3">
        <v>8007485.3127714777</v>
      </c>
      <c r="G55" s="3">
        <v>9296499.0851072371</v>
      </c>
      <c r="H55" s="3">
        <v>12304197.887224009</v>
      </c>
      <c r="I55" s="16">
        <v>18749266.748902805</v>
      </c>
      <c r="M55" s="92" t="s">
        <v>253</v>
      </c>
      <c r="N55" s="216">
        <v>81146738</v>
      </c>
    </row>
    <row r="56" spans="2:14" x14ac:dyDescent="0.2">
      <c r="C56" s="215" t="s">
        <v>83</v>
      </c>
      <c r="D56" s="86">
        <v>8.6300000000000002E-2</v>
      </c>
      <c r="E56" s="3">
        <v>6029217.756310272</v>
      </c>
      <c r="F56" s="3">
        <v>7670238.6019153129</v>
      </c>
      <c r="G56" s="263">
        <v>8901004.2361190934</v>
      </c>
      <c r="H56" s="3">
        <v>11772790.715927914</v>
      </c>
      <c r="I56" s="16">
        <v>17926618.886946816</v>
      </c>
      <c r="M56" s="30" t="s">
        <v>254</v>
      </c>
      <c r="N56" s="217">
        <v>24100000</v>
      </c>
    </row>
    <row r="57" spans="2:14" x14ac:dyDescent="0.2">
      <c r="D57" s="86">
        <v>9.6299999999999997E-2</v>
      </c>
      <c r="E57" s="3">
        <v>5783077.6825905433</v>
      </c>
      <c r="F57" s="3">
        <v>7350607.9125701059</v>
      </c>
      <c r="G57" s="3">
        <v>8526255.5850547776</v>
      </c>
      <c r="H57" s="3">
        <v>11269433.487519011</v>
      </c>
      <c r="I57" s="16">
        <v>17147671.849942371</v>
      </c>
      <c r="M57" s="30" t="s">
        <v>256</v>
      </c>
      <c r="N57" s="217">
        <v>51.56</v>
      </c>
    </row>
    <row r="58" spans="2:14" x14ac:dyDescent="0.2">
      <c r="D58" s="87">
        <v>0.10630000000000001</v>
      </c>
      <c r="E58" s="264">
        <v>5549561.623281477</v>
      </c>
      <c r="F58" s="264">
        <v>7047515.473481792</v>
      </c>
      <c r="G58" s="264">
        <v>8170980.8611320276</v>
      </c>
      <c r="H58" s="264">
        <v>10792400.09898258</v>
      </c>
      <c r="I58" s="265">
        <v>16409727.037233764</v>
      </c>
      <c r="M58" s="92" t="s">
        <v>257</v>
      </c>
      <c r="N58" s="216">
        <f>N56/N57</f>
        <v>467416.60201706749</v>
      </c>
    </row>
    <row r="59" spans="2:14" x14ac:dyDescent="0.2">
      <c r="M59" s="30" t="s">
        <v>255</v>
      </c>
      <c r="N59" s="217">
        <v>175000000</v>
      </c>
    </row>
    <row r="60" spans="2:14" x14ac:dyDescent="0.2">
      <c r="M60" s="30" t="s">
        <v>258</v>
      </c>
      <c r="N60" s="217">
        <v>115.5</v>
      </c>
    </row>
    <row r="61" spans="2:14" x14ac:dyDescent="0.2">
      <c r="M61" s="92" t="s">
        <v>257</v>
      </c>
      <c r="N61" s="216">
        <f>N59/N60</f>
        <v>1515151.5151515151</v>
      </c>
    </row>
    <row r="62" spans="2:14" x14ac:dyDescent="0.2">
      <c r="M62" s="31" t="s">
        <v>210</v>
      </c>
      <c r="N62" s="218">
        <f>N61+N58+N55</f>
        <v>83129306.117168576</v>
      </c>
    </row>
  </sheetData>
  <mergeCells count="11">
    <mergeCell ref="B41:C41"/>
    <mergeCell ref="M2:P2"/>
    <mergeCell ref="C4:E4"/>
    <mergeCell ref="M28:N28"/>
    <mergeCell ref="B27:C27"/>
    <mergeCell ref="B28:C28"/>
    <mergeCell ref="M54:N54"/>
    <mergeCell ref="D51:I51"/>
    <mergeCell ref="M35:N35"/>
    <mergeCell ref="M42:N42"/>
    <mergeCell ref="F4:J4"/>
  </mergeCells>
  <pageMargins left="0.7" right="0.7" top="0.75" bottom="0.75" header="0.3" footer="0.3"/>
  <ignoredErrors>
    <ignoredError sqref="C35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0C524-9BB9-0C40-97CD-7E5423AB2350}">
          <x14:formula1>
            <xm:f>'Assumption 1'!$C$8:$C$11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F4E8-D393-4F71-BA1E-5B41DC60D3AF}">
  <dimension ref="C2:Q42"/>
  <sheetViews>
    <sheetView showGridLines="0" zoomScale="49" workbookViewId="0">
      <selection activeCell="R17" sqref="R17"/>
    </sheetView>
  </sheetViews>
  <sheetFormatPr baseColWidth="10" defaultColWidth="8.83203125" defaultRowHeight="15" x14ac:dyDescent="0.2"/>
  <cols>
    <col min="1" max="1" width="2.6640625" customWidth="1"/>
    <col min="2" max="2" width="2.33203125" customWidth="1"/>
    <col min="3" max="3" width="36.6640625" bestFit="1" customWidth="1"/>
    <col min="4" max="9" width="9" bestFit="1" customWidth="1"/>
    <col min="10" max="11" width="9.1640625" bestFit="1" customWidth="1"/>
    <col min="14" max="14" width="37" bestFit="1" customWidth="1"/>
    <col min="15" max="17" width="9" bestFit="1" customWidth="1"/>
  </cols>
  <sheetData>
    <row r="2" spans="3:17" x14ac:dyDescent="0.2">
      <c r="C2" s="100" t="s">
        <v>97</v>
      </c>
      <c r="D2" s="241" t="s">
        <v>87</v>
      </c>
      <c r="E2" s="242"/>
      <c r="F2" s="242"/>
      <c r="G2" s="243" t="s">
        <v>70</v>
      </c>
      <c r="H2" s="242"/>
      <c r="I2" s="242"/>
      <c r="J2" s="242"/>
      <c r="K2" s="244"/>
      <c r="N2" s="238" t="s">
        <v>113</v>
      </c>
      <c r="O2" s="239"/>
      <c r="P2" s="239"/>
      <c r="Q2" s="240"/>
    </row>
    <row r="3" spans="3:17" x14ac:dyDescent="0.2">
      <c r="C3" s="30"/>
      <c r="D3" s="111">
        <v>2022</v>
      </c>
      <c r="E3" s="7">
        <v>2023</v>
      </c>
      <c r="F3" s="7">
        <v>2024</v>
      </c>
      <c r="G3" s="61">
        <v>2025</v>
      </c>
      <c r="H3" s="6">
        <v>2026</v>
      </c>
      <c r="I3" s="6">
        <v>2027</v>
      </c>
      <c r="J3" s="6">
        <v>2028</v>
      </c>
      <c r="K3" s="101">
        <v>2029</v>
      </c>
      <c r="N3" s="113"/>
      <c r="O3" s="113">
        <v>2022</v>
      </c>
      <c r="P3" s="46">
        <v>2023</v>
      </c>
      <c r="Q3" s="74">
        <v>2024</v>
      </c>
    </row>
    <row r="4" spans="3:17" x14ac:dyDescent="0.2">
      <c r="C4" s="30" t="s">
        <v>71</v>
      </c>
      <c r="D4" s="56">
        <f>Financials!Q3</f>
        <v>722870</v>
      </c>
      <c r="E4" s="3">
        <f>Financials!R3</f>
        <v>578862</v>
      </c>
      <c r="F4" s="3">
        <f>Financials!S3</f>
        <v>607473</v>
      </c>
      <c r="G4" s="62">
        <f>DCF!F6</f>
        <v>704668.67999999993</v>
      </c>
      <c r="H4" s="13">
        <f>DCF!G6</f>
        <v>1007676.2123999998</v>
      </c>
      <c r="I4" s="13">
        <f>DCF!H6</f>
        <v>1259595.2654999997</v>
      </c>
      <c r="J4" s="13">
        <f>DCF!I6</f>
        <v>1410746.6973599999</v>
      </c>
      <c r="K4" s="102">
        <f>DCF!J6</f>
        <v>1495391.4992016</v>
      </c>
      <c r="N4" s="92" t="s">
        <v>114</v>
      </c>
      <c r="O4" s="30"/>
      <c r="Q4" s="19"/>
    </row>
    <row r="5" spans="3:17" x14ac:dyDescent="0.2">
      <c r="C5" s="30" t="s">
        <v>73</v>
      </c>
      <c r="D5" s="56">
        <f>Financials!Q4</f>
        <v>279797</v>
      </c>
      <c r="E5" s="3">
        <f>Financials!R4</f>
        <v>203074</v>
      </c>
      <c r="F5" s="3">
        <f>Financials!S4</f>
        <v>211529</v>
      </c>
      <c r="G5" s="56">
        <f>DCF!F8</f>
        <v>255090.06215999997</v>
      </c>
      <c r="H5" s="3">
        <f>DCF!G8</f>
        <v>302302.86372000002</v>
      </c>
      <c r="I5" s="3">
        <f>DCF!H8</f>
        <v>440858.34292499989</v>
      </c>
      <c r="J5" s="3">
        <f>DCF!I8</f>
        <v>510690.30444431992</v>
      </c>
      <c r="K5" s="16">
        <f>DCF!J8</f>
        <v>541331.72271097917</v>
      </c>
      <c r="N5" s="30" t="s">
        <v>115</v>
      </c>
      <c r="O5" s="56">
        <v>8110</v>
      </c>
      <c r="P5" s="3">
        <v>12496</v>
      </c>
      <c r="Q5" s="16">
        <v>15089</v>
      </c>
    </row>
    <row r="6" spans="3:17" x14ac:dyDescent="0.2">
      <c r="C6" s="30"/>
      <c r="D6" s="30"/>
      <c r="G6" s="5"/>
      <c r="K6" s="19"/>
      <c r="N6" s="30" t="s">
        <v>116</v>
      </c>
      <c r="O6" s="56">
        <v>6803</v>
      </c>
      <c r="P6" s="3">
        <v>9467</v>
      </c>
      <c r="Q6" s="16">
        <v>581</v>
      </c>
    </row>
    <row r="7" spans="3:17" x14ac:dyDescent="0.2">
      <c r="C7" s="103" t="s">
        <v>88</v>
      </c>
      <c r="D7" s="30"/>
      <c r="G7" s="5"/>
      <c r="K7" s="19"/>
      <c r="N7" s="30" t="s">
        <v>117</v>
      </c>
      <c r="O7" s="56">
        <v>2051</v>
      </c>
      <c r="P7" s="3">
        <v>3348</v>
      </c>
      <c r="Q7" s="16">
        <v>3553</v>
      </c>
    </row>
    <row r="8" spans="3:17" x14ac:dyDescent="0.2">
      <c r="C8" s="30" t="s">
        <v>89</v>
      </c>
      <c r="D8" s="63">
        <f>Financials!F6</f>
        <v>148333</v>
      </c>
      <c r="E8" s="104">
        <f>Financials!G6</f>
        <v>143218</v>
      </c>
      <c r="F8" s="104">
        <f>Financials!H6</f>
        <v>181862</v>
      </c>
      <c r="G8" s="63">
        <f>('Assumption 2'!D7/365)*'Net Working Capital'!G4</f>
        <v>164100.92547945204</v>
      </c>
      <c r="H8" s="104">
        <f>('Assumption 2'!E7/365)*'Net Working Capital'!H4</f>
        <v>165645.40477808216</v>
      </c>
      <c r="I8" s="104">
        <f>('Assumption 2'!F7/365)*'Net Working Capital'!I4</f>
        <v>241566.21530136981</v>
      </c>
      <c r="J8" s="104">
        <f>('Assumption 2'!G7/365)*'Net Working Capital'!J4</f>
        <v>270554.16113753419</v>
      </c>
      <c r="K8" s="24">
        <f>('Assumption 2'!H7/365)*'Net Working Capital'!K4</f>
        <v>286787.41080578626</v>
      </c>
      <c r="N8" s="30" t="s">
        <v>118</v>
      </c>
      <c r="O8" s="56">
        <v>369</v>
      </c>
      <c r="P8" s="3">
        <v>2627</v>
      </c>
      <c r="Q8" s="16">
        <v>5808</v>
      </c>
    </row>
    <row r="9" spans="3:17" x14ac:dyDescent="0.2">
      <c r="C9" s="30" t="s">
        <v>20</v>
      </c>
      <c r="D9" s="63">
        <f>Financials!F7</f>
        <v>92117</v>
      </c>
      <c r="E9" s="104">
        <f>Financials!G7</f>
        <v>92505</v>
      </c>
      <c r="F9" s="104">
        <f>Financials!H7</f>
        <v>103285</v>
      </c>
      <c r="G9" s="63">
        <f>('Assumption 2'!D13/365)*'Net Working Capital'!G5</f>
        <v>97842.763568219161</v>
      </c>
      <c r="H9" s="104">
        <f>('Assumption 2'!E13/365)*'Net Working Capital'!H5</f>
        <v>103528.37798630138</v>
      </c>
      <c r="I9" s="104">
        <f>('Assumption 2'!F13/365)*'Net Working Capital'!I5</f>
        <v>157018.03994589037</v>
      </c>
      <c r="J9" s="104">
        <f>('Assumption 2'!G13/365)*'Net Working Capital'!J5</f>
        <v>181889.69747331942</v>
      </c>
      <c r="K9" s="24">
        <f>('Assumption 2'!H13/365)*'Net Working Capital'!K5</f>
        <v>192803.0793217186</v>
      </c>
      <c r="N9" s="30" t="s">
        <v>119</v>
      </c>
      <c r="O9" s="56">
        <v>416</v>
      </c>
      <c r="P9" s="3">
        <v>493</v>
      </c>
      <c r="Q9" s="16">
        <v>1936</v>
      </c>
    </row>
    <row r="10" spans="3:17" x14ac:dyDescent="0.2">
      <c r="C10" s="30" t="s">
        <v>90</v>
      </c>
      <c r="D10" s="63">
        <f>O9+O16+O17+O19+O10</f>
        <v>2191</v>
      </c>
      <c r="E10" s="104">
        <f>P9+P16+P17+P19+P10</f>
        <v>3094</v>
      </c>
      <c r="F10" s="104">
        <f>Q9+Q10+Q16+Q17+Q19</f>
        <v>4585</v>
      </c>
      <c r="G10" s="73">
        <f>G4*G28</f>
        <v>3740.2884006278</v>
      </c>
      <c r="H10" s="72">
        <f t="shared" ref="H10:K10" si="0">H4*H28</f>
        <v>5348.6124128977535</v>
      </c>
      <c r="I10" s="72">
        <f t="shared" si="0"/>
        <v>6685.765516122191</v>
      </c>
      <c r="J10" s="72">
        <f t="shared" si="0"/>
        <v>7488.0573780568557</v>
      </c>
      <c r="K10" s="52">
        <f t="shared" si="0"/>
        <v>7937.3408207402672</v>
      </c>
      <c r="N10" s="30" t="s">
        <v>120</v>
      </c>
      <c r="O10" s="56">
        <v>350</v>
      </c>
      <c r="P10" s="3">
        <v>468</v>
      </c>
      <c r="Q10" s="16">
        <v>774</v>
      </c>
    </row>
    <row r="11" spans="3:17" x14ac:dyDescent="0.2">
      <c r="C11" s="103" t="s">
        <v>91</v>
      </c>
      <c r="D11" s="64">
        <f>SUM(D8:D10)</f>
        <v>242641</v>
      </c>
      <c r="E11" s="14">
        <f>SUM(E8:E10)</f>
        <v>238817</v>
      </c>
      <c r="F11" s="14">
        <f>F8+F9+F10</f>
        <v>289732</v>
      </c>
      <c r="G11" s="65">
        <f>G8+G9+G10</f>
        <v>265683.977448299</v>
      </c>
      <c r="H11" s="105">
        <f t="shared" ref="H11:K11" si="1">H8+H9+H10</f>
        <v>274522.39517728129</v>
      </c>
      <c r="I11" s="105">
        <f t="shared" si="1"/>
        <v>405270.02076338237</v>
      </c>
      <c r="J11" s="105">
        <f t="shared" si="1"/>
        <v>459931.91598891048</v>
      </c>
      <c r="K11" s="106">
        <f t="shared" si="1"/>
        <v>487527.83094824513</v>
      </c>
      <c r="N11" s="31" t="s">
        <v>123</v>
      </c>
      <c r="O11" s="114">
        <f>SUM(O5:O10)</f>
        <v>18099</v>
      </c>
      <c r="P11" s="94">
        <f>SUM(P5:P10)</f>
        <v>28899</v>
      </c>
      <c r="Q11" s="95">
        <f>SUM(Q5:Q10)</f>
        <v>27741</v>
      </c>
    </row>
    <row r="12" spans="3:17" x14ac:dyDescent="0.2">
      <c r="C12" s="30"/>
      <c r="D12" s="30"/>
      <c r="G12" s="56"/>
      <c r="H12" s="3"/>
      <c r="I12" s="3"/>
      <c r="J12" s="3"/>
      <c r="K12" s="16"/>
      <c r="N12" s="30"/>
      <c r="O12" s="30"/>
      <c r="Q12" s="19"/>
    </row>
    <row r="13" spans="3:17" x14ac:dyDescent="0.2">
      <c r="C13" s="103" t="s">
        <v>92</v>
      </c>
      <c r="D13" s="30"/>
      <c r="G13" s="56"/>
      <c r="H13" s="3"/>
      <c r="I13" s="3"/>
      <c r="J13" s="3"/>
      <c r="K13" s="16"/>
      <c r="N13" s="30"/>
      <c r="O13" s="30"/>
      <c r="Q13" s="19"/>
    </row>
    <row r="14" spans="3:17" x14ac:dyDescent="0.2">
      <c r="C14" s="30" t="s">
        <v>93</v>
      </c>
      <c r="D14" s="63">
        <f>Financials!F25</f>
        <v>41431</v>
      </c>
      <c r="E14" s="104">
        <f>Financials!G25</f>
        <v>46889</v>
      </c>
      <c r="F14" s="104">
        <f>Financials!H25</f>
        <v>52630</v>
      </c>
      <c r="G14" s="63">
        <f>('Assumption 2'!D26/365)*'Net Working Capital'!G5</f>
        <v>55910.15061041095</v>
      </c>
      <c r="H14" s="104">
        <f>('Assumption 2'!E26/365)*'Net Working Capital'!H5</f>
        <v>70399.297030684931</v>
      </c>
      <c r="I14" s="104">
        <f>('Assumption 2'!F26/365)*'Net Working Capital'!I5</f>
        <v>96626.48612054791</v>
      </c>
      <c r="J14" s="104">
        <f>('Assumption 2'!G26/365)*'Net Working Capital'!J5</f>
        <v>111932.12152204271</v>
      </c>
      <c r="K14" s="24">
        <f>('Assumption 2'!H26/365)*'Net Working Capital'!K5</f>
        <v>118648.0488133653</v>
      </c>
      <c r="N14" s="92" t="s">
        <v>28</v>
      </c>
      <c r="O14" s="30"/>
      <c r="Q14" s="19"/>
    </row>
    <row r="15" spans="3:17" x14ac:dyDescent="0.2">
      <c r="C15" s="30" t="s">
        <v>94</v>
      </c>
      <c r="D15" s="63">
        <f>O39+O40+O38</f>
        <v>26215</v>
      </c>
      <c r="E15" s="104">
        <f>P39+P40+P38</f>
        <v>24601</v>
      </c>
      <c r="F15" s="104">
        <f>Q40+Q38+Q39</f>
        <v>25723</v>
      </c>
      <c r="G15" s="63">
        <f>G4*G32</f>
        <v>28447.084005045155</v>
      </c>
      <c r="H15" s="104">
        <f t="shared" ref="H15:K15" si="2">H4*H32</f>
        <v>40679.330127214569</v>
      </c>
      <c r="I15" s="104">
        <f t="shared" si="2"/>
        <v>50849.162659018213</v>
      </c>
      <c r="J15" s="104">
        <f t="shared" si="2"/>
        <v>56951.062178100401</v>
      </c>
      <c r="K15" s="24">
        <f t="shared" si="2"/>
        <v>60368.125908786431</v>
      </c>
      <c r="N15" s="30" t="s">
        <v>124</v>
      </c>
      <c r="O15" s="56">
        <v>1463</v>
      </c>
      <c r="P15" s="3">
        <v>2082</v>
      </c>
      <c r="Q15" s="16">
        <v>2694</v>
      </c>
    </row>
    <row r="16" spans="3:17" x14ac:dyDescent="0.2">
      <c r="C16" s="30" t="s">
        <v>95</v>
      </c>
      <c r="D16" s="63">
        <f>O24+O27+O28+O29+O30+O32+O33</f>
        <v>40320</v>
      </c>
      <c r="E16" s="104">
        <f>P24+P27+P28+P29+P30+P32+P33</f>
        <v>35018</v>
      </c>
      <c r="F16" s="104">
        <f>Q24+Q27+Q28+Q29+Q30+Q32+Q33</f>
        <v>38623</v>
      </c>
      <c r="G16" s="73">
        <f>G4*G33</f>
        <v>42245.357402359943</v>
      </c>
      <c r="H16" s="72">
        <f t="shared" ref="H16:K16" si="3">H4*H33</f>
        <v>60410.861085374709</v>
      </c>
      <c r="I16" s="72">
        <f t="shared" si="3"/>
        <v>75513.576356718389</v>
      </c>
      <c r="J16" s="72">
        <f t="shared" si="3"/>
        <v>84575.205519524607</v>
      </c>
      <c r="K16" s="52">
        <f t="shared" si="3"/>
        <v>89649.717850696077</v>
      </c>
      <c r="N16" s="30" t="s">
        <v>125</v>
      </c>
      <c r="O16" s="56">
        <v>364</v>
      </c>
      <c r="P16" s="3">
        <v>1260</v>
      </c>
      <c r="Q16" s="16">
        <v>481</v>
      </c>
    </row>
    <row r="17" spans="3:17" x14ac:dyDescent="0.2">
      <c r="C17" s="103" t="s">
        <v>96</v>
      </c>
      <c r="D17" s="64">
        <f>SUM(D14:D16)</f>
        <v>107966</v>
      </c>
      <c r="E17" s="14">
        <f>SUM(E14:E16)</f>
        <v>106508</v>
      </c>
      <c r="F17" s="14">
        <f>SUM(F14:F16)</f>
        <v>116976</v>
      </c>
      <c r="G17" s="65">
        <f t="shared" ref="G17:K17" si="4">SUM(G14:G16)</f>
        <v>126602.59201781606</v>
      </c>
      <c r="H17" s="105">
        <f t="shared" si="4"/>
        <v>171489.48824327422</v>
      </c>
      <c r="I17" s="105">
        <f t="shared" si="4"/>
        <v>222989.22513628448</v>
      </c>
      <c r="J17" s="105">
        <f t="shared" si="4"/>
        <v>253458.38921966773</v>
      </c>
      <c r="K17" s="106">
        <f t="shared" si="4"/>
        <v>268665.89257284778</v>
      </c>
      <c r="N17" s="30" t="s">
        <v>126</v>
      </c>
      <c r="O17" s="56">
        <v>289</v>
      </c>
      <c r="P17" s="3">
        <v>291</v>
      </c>
      <c r="Q17" s="16">
        <v>417</v>
      </c>
    </row>
    <row r="18" spans="3:17" x14ac:dyDescent="0.2">
      <c r="C18" s="30"/>
      <c r="D18" s="56"/>
      <c r="E18" s="3"/>
      <c r="F18" s="3"/>
      <c r="G18" s="30"/>
      <c r="K18" s="19"/>
      <c r="N18" s="30" t="s">
        <v>127</v>
      </c>
      <c r="O18" s="56">
        <v>21</v>
      </c>
      <c r="P18" s="3">
        <v>22</v>
      </c>
      <c r="Q18" s="16">
        <v>23</v>
      </c>
    </row>
    <row r="19" spans="3:17" x14ac:dyDescent="0.2">
      <c r="C19" s="103" t="s">
        <v>97</v>
      </c>
      <c r="D19" s="64">
        <f>D11-D17</f>
        <v>134675</v>
      </c>
      <c r="E19" s="14">
        <f>E11-E17</f>
        <v>132309</v>
      </c>
      <c r="F19" s="14">
        <f>F11-F17</f>
        <v>172756</v>
      </c>
      <c r="G19" s="64">
        <f t="shared" ref="G19:K19" si="5">G11-G17</f>
        <v>139081.38543048294</v>
      </c>
      <c r="H19" s="14">
        <f t="shared" si="5"/>
        <v>103032.90693400707</v>
      </c>
      <c r="I19" s="14">
        <f t="shared" si="5"/>
        <v>182280.79562709789</v>
      </c>
      <c r="J19" s="14">
        <f t="shared" si="5"/>
        <v>206473.52676924274</v>
      </c>
      <c r="K19" s="20">
        <f t="shared" si="5"/>
        <v>218861.93837539735</v>
      </c>
      <c r="N19" s="30" t="s">
        <v>128</v>
      </c>
      <c r="O19" s="56">
        <v>772</v>
      </c>
      <c r="P19" s="3">
        <v>582</v>
      </c>
      <c r="Q19" s="16">
        <v>977</v>
      </c>
    </row>
    <row r="20" spans="3:17" x14ac:dyDescent="0.2">
      <c r="C20" s="107" t="s">
        <v>98</v>
      </c>
      <c r="D20" s="112" t="s">
        <v>122</v>
      </c>
      <c r="E20" s="108">
        <f>E19-D19</f>
        <v>-2366</v>
      </c>
      <c r="F20" s="108">
        <f>F19-E19</f>
        <v>40447</v>
      </c>
      <c r="G20" s="109">
        <f t="shared" ref="G20:K20" si="6">G19-F19</f>
        <v>-33674.614569517056</v>
      </c>
      <c r="H20" s="108">
        <f t="shared" si="6"/>
        <v>-36048.478496475873</v>
      </c>
      <c r="I20" s="108">
        <f t="shared" si="6"/>
        <v>79247.888693090819</v>
      </c>
      <c r="J20" s="108">
        <f t="shared" si="6"/>
        <v>24192.731142144854</v>
      </c>
      <c r="K20" s="110">
        <f t="shared" si="6"/>
        <v>12388.411606154608</v>
      </c>
      <c r="N20" s="31" t="s">
        <v>123</v>
      </c>
      <c r="O20" s="114">
        <f>SUM(O15:O19)</f>
        <v>2909</v>
      </c>
      <c r="P20" s="94">
        <f>SUM(P15:P19)</f>
        <v>4237</v>
      </c>
      <c r="Q20" s="95">
        <f>SUM(Q15:Q19)</f>
        <v>4592</v>
      </c>
    </row>
    <row r="21" spans="3:17" x14ac:dyDescent="0.2">
      <c r="N21" s="30"/>
      <c r="O21" s="30"/>
      <c r="Q21" s="19"/>
    </row>
    <row r="22" spans="3:17" x14ac:dyDescent="0.2">
      <c r="N22" s="30"/>
      <c r="O22" s="30"/>
      <c r="Q22" s="19"/>
    </row>
    <row r="23" spans="3:17" x14ac:dyDescent="0.2">
      <c r="N23" s="92" t="s">
        <v>95</v>
      </c>
      <c r="O23" s="30"/>
      <c r="Q23" s="19"/>
    </row>
    <row r="24" spans="3:17" x14ac:dyDescent="0.2">
      <c r="C24" s="91" t="s">
        <v>159</v>
      </c>
      <c r="N24" s="30" t="s">
        <v>129</v>
      </c>
      <c r="O24" s="56">
        <v>16561</v>
      </c>
      <c r="P24" s="3">
        <v>19716</v>
      </c>
      <c r="Q24" s="16">
        <v>22352</v>
      </c>
    </row>
    <row r="25" spans="3:17" x14ac:dyDescent="0.2">
      <c r="C25" s="31" t="s">
        <v>88</v>
      </c>
      <c r="D25" s="46"/>
      <c r="E25" s="46"/>
      <c r="F25" s="74"/>
      <c r="G25" s="46"/>
      <c r="H25" s="46"/>
      <c r="I25" s="46"/>
      <c r="J25" s="46"/>
      <c r="K25" s="74"/>
      <c r="N25" s="30" t="s">
        <v>116</v>
      </c>
      <c r="O25" s="56">
        <v>98</v>
      </c>
      <c r="P25" s="3">
        <v>443</v>
      </c>
      <c r="Q25" s="16">
        <v>9825</v>
      </c>
    </row>
    <row r="26" spans="3:17" x14ac:dyDescent="0.2">
      <c r="C26" s="76" t="s">
        <v>160</v>
      </c>
      <c r="D26" s="26">
        <f>+IF(ISERROR(D8/D4)*365,0,D8/D4*365)</f>
        <v>74.89803837481152</v>
      </c>
      <c r="E26" s="26">
        <f t="shared" ref="E26:F26" si="7">+IF(ISERROR(E8/E4)*365,0,E8/E4*365)</f>
        <v>90.305755084977065</v>
      </c>
      <c r="F26" s="27">
        <f t="shared" si="7"/>
        <v>109.27173718008866</v>
      </c>
      <c r="G26" s="26">
        <f>'Assumption 2'!D7</f>
        <v>85</v>
      </c>
      <c r="H26" s="26">
        <f>'Assumption 2'!E7</f>
        <v>60</v>
      </c>
      <c r="I26" s="26">
        <f>'Assumption 2'!F7</f>
        <v>70</v>
      </c>
      <c r="J26" s="26">
        <f>'Assumption 2'!G7</f>
        <v>70</v>
      </c>
      <c r="K26" s="27">
        <f>'Assumption 2'!H7</f>
        <v>70</v>
      </c>
      <c r="N26" s="30" t="s">
        <v>130</v>
      </c>
      <c r="O26" s="56">
        <v>1352</v>
      </c>
      <c r="P26" s="3">
        <v>1370</v>
      </c>
      <c r="Q26" s="16">
        <v>8165</v>
      </c>
    </row>
    <row r="27" spans="3:17" x14ac:dyDescent="0.2">
      <c r="C27" s="77" t="s">
        <v>161</v>
      </c>
      <c r="D27" s="26">
        <f>+IF(ISERROR(D9/D5)*365,0,D9/D5*365)</f>
        <v>120.16821123886247</v>
      </c>
      <c r="E27" s="26">
        <f t="shared" ref="E27:F27" si="8">+IF(ISERROR(E9/E5)*365,0,E9/E5*365)</f>
        <v>166.266114815289</v>
      </c>
      <c r="F27" s="27">
        <f t="shared" si="8"/>
        <v>178.22154409088117</v>
      </c>
      <c r="G27" s="26">
        <f>'Assumption 2'!D13</f>
        <v>140</v>
      </c>
      <c r="H27" s="26">
        <f>'Assumption 2'!E13</f>
        <v>125</v>
      </c>
      <c r="I27" s="26">
        <f>'Assumption 2'!F13</f>
        <v>130</v>
      </c>
      <c r="J27" s="26">
        <f>'Assumption 2'!G13</f>
        <v>130</v>
      </c>
      <c r="K27" s="27">
        <f>'Assumption 2'!H13</f>
        <v>130</v>
      </c>
      <c r="N27" s="30" t="s">
        <v>131</v>
      </c>
      <c r="O27" s="56">
        <v>10042</v>
      </c>
      <c r="P27" s="3">
        <v>5758</v>
      </c>
      <c r="Q27" s="16">
        <v>5623</v>
      </c>
    </row>
    <row r="28" spans="3:17" x14ac:dyDescent="0.2">
      <c r="C28" s="77" t="s">
        <v>162</v>
      </c>
      <c r="D28" s="21">
        <f>D10/D4</f>
        <v>3.0309737573837618E-3</v>
      </c>
      <c r="E28" s="21">
        <f t="shared" ref="E28:F28" si="9">E10/E4</f>
        <v>5.3449699582974871E-3</v>
      </c>
      <c r="F28" s="22">
        <f t="shared" si="9"/>
        <v>7.5476605544608569E-3</v>
      </c>
      <c r="G28" s="28">
        <f>'Assumption 2'!D19</f>
        <v>5.3078680900473683E-3</v>
      </c>
      <c r="H28" s="28">
        <f>'Assumption 2'!E19</f>
        <v>5.3078680900473683E-3</v>
      </c>
      <c r="I28" s="28">
        <f>'Assumption 2'!F19</f>
        <v>5.3078680900473683E-3</v>
      </c>
      <c r="J28" s="28">
        <f>'Assumption 2'!G19</f>
        <v>5.3078680900473683E-3</v>
      </c>
      <c r="K28" s="53">
        <f>'Assumption 2'!H19</f>
        <v>5.3078680900473683E-3</v>
      </c>
      <c r="N28" s="30" t="s">
        <v>132</v>
      </c>
      <c r="O28" s="56">
        <v>4237</v>
      </c>
      <c r="P28" s="3">
        <v>3589</v>
      </c>
      <c r="Q28" s="16">
        <v>3298</v>
      </c>
    </row>
    <row r="29" spans="3:17" x14ac:dyDescent="0.2">
      <c r="C29" s="77"/>
      <c r="F29" s="19"/>
      <c r="K29" s="19"/>
      <c r="N29" s="30" t="s">
        <v>133</v>
      </c>
      <c r="O29" s="56">
        <v>1610</v>
      </c>
      <c r="P29" s="3">
        <v>1940</v>
      </c>
      <c r="Q29" s="16">
        <v>2540</v>
      </c>
    </row>
    <row r="30" spans="3:17" x14ac:dyDescent="0.2">
      <c r="C30" s="78" t="s">
        <v>92</v>
      </c>
      <c r="D30" s="23"/>
      <c r="E30" s="23"/>
      <c r="F30" s="75"/>
      <c r="G30" s="23"/>
      <c r="H30" s="23"/>
      <c r="I30" s="23"/>
      <c r="J30" s="23"/>
      <c r="K30" s="75"/>
      <c r="N30" s="30" t="s">
        <v>134</v>
      </c>
      <c r="O30" s="56">
        <v>1419</v>
      </c>
      <c r="P30" s="3">
        <v>1746</v>
      </c>
      <c r="Q30" s="16">
        <v>2390</v>
      </c>
    </row>
    <row r="31" spans="3:17" x14ac:dyDescent="0.2">
      <c r="C31" s="77" t="s">
        <v>163</v>
      </c>
      <c r="D31" s="26">
        <f>D14/D5*365</f>
        <v>54.047452260031378</v>
      </c>
      <c r="E31" s="26">
        <f t="shared" ref="E31:F31" si="10">E14/E5*365</f>
        <v>84.277086185331456</v>
      </c>
      <c r="F31" s="27">
        <f t="shared" si="10"/>
        <v>90.814734622675843</v>
      </c>
      <c r="G31" s="26">
        <f>'Assumption 2'!D26</f>
        <v>80</v>
      </c>
      <c r="H31" s="26">
        <f>'Assumption 2'!E26</f>
        <v>85</v>
      </c>
      <c r="I31" s="26">
        <f>'Assumption 2'!F26</f>
        <v>80</v>
      </c>
      <c r="J31" s="26">
        <f>'Assumption 2'!G26</f>
        <v>80</v>
      </c>
      <c r="K31" s="27">
        <f>'Assumption 2'!H26</f>
        <v>80</v>
      </c>
      <c r="N31" s="30" t="s">
        <v>135</v>
      </c>
      <c r="O31" s="56">
        <v>691</v>
      </c>
      <c r="P31" s="3">
        <v>991</v>
      </c>
      <c r="Q31" s="16">
        <v>1022</v>
      </c>
    </row>
    <row r="32" spans="3:17" x14ac:dyDescent="0.2">
      <c r="C32" s="77" t="s">
        <v>164</v>
      </c>
      <c r="D32" s="21">
        <f>D15/D4</f>
        <v>3.6265165244096446E-2</v>
      </c>
      <c r="E32" s="21">
        <f t="shared" ref="E32:F32" si="11">E15/E4</f>
        <v>4.2498903020063504E-2</v>
      </c>
      <c r="F32" s="22">
        <f t="shared" si="11"/>
        <v>4.2344268798777888E-2</v>
      </c>
      <c r="G32" s="28">
        <f>'Assumption 2'!D32</f>
        <v>4.0369445687645944E-2</v>
      </c>
      <c r="H32" s="28">
        <f>'Assumption 2'!E32</f>
        <v>4.0369445687645944E-2</v>
      </c>
      <c r="I32" s="28">
        <f>'Assumption 2'!F32</f>
        <v>4.0369445687645944E-2</v>
      </c>
      <c r="J32" s="28">
        <f>'Assumption 2'!G32</f>
        <v>4.0369445687645944E-2</v>
      </c>
      <c r="K32" s="53">
        <f>'Assumption 2'!H32</f>
        <v>4.0369445687645944E-2</v>
      </c>
      <c r="N32" s="30" t="s">
        <v>136</v>
      </c>
      <c r="O32" s="56">
        <v>488</v>
      </c>
      <c r="P32" s="3">
        <v>383</v>
      </c>
      <c r="Q32" s="16">
        <v>420</v>
      </c>
    </row>
    <row r="33" spans="3:17" x14ac:dyDescent="0.2">
      <c r="C33" s="79" t="s">
        <v>165</v>
      </c>
      <c r="D33" s="33">
        <f>D16/D4</f>
        <v>5.5777664033643669E-2</v>
      </c>
      <c r="E33" s="33">
        <f t="shared" ref="E33:F33" si="12">E16/E4</f>
        <v>6.0494556560976534E-2</v>
      </c>
      <c r="F33" s="34">
        <f t="shared" si="12"/>
        <v>6.3579780500532534E-2</v>
      </c>
      <c r="G33" s="40">
        <f>'Assumption 2'!D38</f>
        <v>5.9950667031717579E-2</v>
      </c>
      <c r="H33" s="40">
        <f>'Assumption 2'!E38</f>
        <v>5.9950667031717579E-2</v>
      </c>
      <c r="I33" s="40">
        <f>'Assumption 2'!F38</f>
        <v>5.9950667031717579E-2</v>
      </c>
      <c r="J33" s="40">
        <f>'Assumption 2'!G38</f>
        <v>5.9950667031717579E-2</v>
      </c>
      <c r="K33" s="71">
        <f>'Assumption 2'!H38</f>
        <v>5.9950667031717579E-2</v>
      </c>
      <c r="N33" s="30" t="s">
        <v>95</v>
      </c>
      <c r="O33" s="56">
        <v>5963</v>
      </c>
      <c r="P33" s="3">
        <v>1886</v>
      </c>
      <c r="Q33" s="16">
        <v>2000</v>
      </c>
    </row>
    <row r="34" spans="3:17" x14ac:dyDescent="0.2">
      <c r="N34" s="31" t="s">
        <v>137</v>
      </c>
      <c r="O34" s="114">
        <f>SUM(O24:O33)</f>
        <v>42461</v>
      </c>
      <c r="P34" s="94">
        <f>SUM(P24:P33)</f>
        <v>37822</v>
      </c>
      <c r="Q34" s="95">
        <f>SUM(Q24:Q33)</f>
        <v>57635</v>
      </c>
    </row>
    <row r="35" spans="3:17" x14ac:dyDescent="0.2">
      <c r="C35" s="98" t="s">
        <v>234</v>
      </c>
      <c r="D35" s="46"/>
      <c r="E35" s="46"/>
      <c r="F35" s="46"/>
      <c r="G35" s="74"/>
      <c r="N35" s="30"/>
      <c r="O35" s="56"/>
      <c r="P35" s="3"/>
      <c r="Q35" s="16"/>
    </row>
    <row r="36" spans="3:17" x14ac:dyDescent="0.2">
      <c r="C36" s="76" t="s">
        <v>215</v>
      </c>
      <c r="D36" s="26">
        <f>AVERAGE(D26:F26)</f>
        <v>91.491843546625759</v>
      </c>
      <c r="F36" s="35"/>
      <c r="G36" s="19"/>
      <c r="N36" s="30"/>
      <c r="O36" s="56"/>
      <c r="P36" s="3"/>
      <c r="Q36" s="16"/>
    </row>
    <row r="37" spans="3:17" x14ac:dyDescent="0.2">
      <c r="C37" s="77" t="s">
        <v>216</v>
      </c>
      <c r="D37" s="26">
        <f>AVERAGE(D27:F27)</f>
        <v>154.88529004834422</v>
      </c>
      <c r="F37" s="19"/>
      <c r="G37" s="19"/>
      <c r="N37" s="92" t="s">
        <v>138</v>
      </c>
      <c r="O37" s="56"/>
      <c r="P37" s="3"/>
      <c r="Q37" s="16"/>
    </row>
    <row r="38" spans="3:17" x14ac:dyDescent="0.2">
      <c r="C38" s="77" t="s">
        <v>217</v>
      </c>
      <c r="D38" s="26">
        <f>AVERAGE(D31:F31)</f>
        <v>76.379757689346221</v>
      </c>
      <c r="F38" s="19"/>
      <c r="G38" s="19"/>
      <c r="N38" s="30" t="s">
        <v>139</v>
      </c>
      <c r="O38" s="56">
        <v>14825</v>
      </c>
      <c r="P38" s="3">
        <v>12168</v>
      </c>
      <c r="Q38" s="16">
        <v>14916</v>
      </c>
    </row>
    <row r="39" spans="3:17" x14ac:dyDescent="0.2">
      <c r="C39" s="77"/>
      <c r="F39" s="19"/>
      <c r="G39" s="99" t="s">
        <v>171</v>
      </c>
      <c r="N39" s="30" t="s">
        <v>140</v>
      </c>
      <c r="O39" s="56">
        <v>7227</v>
      </c>
      <c r="P39" s="3">
        <v>8175</v>
      </c>
      <c r="Q39" s="16">
        <v>6360</v>
      </c>
    </row>
    <row r="40" spans="3:17" x14ac:dyDescent="0.2">
      <c r="C40" s="77" t="s">
        <v>235</v>
      </c>
      <c r="D40" s="28">
        <f>D10/D4</f>
        <v>3.0309737573837618E-3</v>
      </c>
      <c r="E40" s="28">
        <f t="shared" ref="E40:F40" si="13">E10/E4</f>
        <v>5.3449699582974871E-3</v>
      </c>
      <c r="F40" s="28">
        <f t="shared" si="13"/>
        <v>7.5476605544608569E-3</v>
      </c>
      <c r="G40" s="96">
        <f>AVERAGE(D40:F40)</f>
        <v>5.3078680900473683E-3</v>
      </c>
      <c r="N40" s="30" t="s">
        <v>141</v>
      </c>
      <c r="O40" s="56">
        <v>4163</v>
      </c>
      <c r="P40" s="3">
        <v>4258</v>
      </c>
      <c r="Q40" s="16">
        <v>4447</v>
      </c>
    </row>
    <row r="41" spans="3:17" x14ac:dyDescent="0.2">
      <c r="C41" s="77" t="s">
        <v>237</v>
      </c>
      <c r="D41" s="28">
        <f>D15/D4</f>
        <v>3.6265165244096446E-2</v>
      </c>
      <c r="E41" s="28">
        <f>E15/E4</f>
        <v>4.2498903020063504E-2</v>
      </c>
      <c r="F41" s="28">
        <f>F15/F4</f>
        <v>4.2344268798777888E-2</v>
      </c>
      <c r="G41" s="96">
        <f t="shared" ref="G41:G42" si="14">AVERAGE(D41:F41)</f>
        <v>4.0369445687645944E-2</v>
      </c>
      <c r="N41" s="30" t="s">
        <v>142</v>
      </c>
      <c r="O41" s="56">
        <v>1700</v>
      </c>
      <c r="P41" s="3">
        <v>357</v>
      </c>
      <c r="Q41" s="16">
        <v>766</v>
      </c>
    </row>
    <row r="42" spans="3:17" x14ac:dyDescent="0.2">
      <c r="C42" s="79" t="s">
        <v>236</v>
      </c>
      <c r="D42" s="40">
        <f>D16/D4</f>
        <v>5.5777664033643669E-2</v>
      </c>
      <c r="E42" s="40">
        <f>E16/E4</f>
        <v>6.0494556560976534E-2</v>
      </c>
      <c r="F42" s="40">
        <f>F16/F4</f>
        <v>6.3579780500532534E-2</v>
      </c>
      <c r="G42" s="97">
        <f t="shared" si="14"/>
        <v>5.9950667031717579E-2</v>
      </c>
      <c r="N42" s="31" t="s">
        <v>123</v>
      </c>
      <c r="O42" s="114">
        <f>SUM(O38:O41)</f>
        <v>27915</v>
      </c>
      <c r="P42" s="94">
        <f>SUM(P38:P41)</f>
        <v>24958</v>
      </c>
      <c r="Q42" s="95">
        <f>SUM(Q38:Q41)</f>
        <v>26489</v>
      </c>
    </row>
  </sheetData>
  <mergeCells count="3">
    <mergeCell ref="N2:Q2"/>
    <mergeCell ref="D2:F2"/>
    <mergeCell ref="G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F225-1B06-4453-BC50-E41D482481C1}">
  <dimension ref="B4:O46"/>
  <sheetViews>
    <sheetView showGridLines="0" zoomScale="50" workbookViewId="0">
      <selection activeCell="H23" sqref="H23"/>
    </sheetView>
  </sheetViews>
  <sheetFormatPr baseColWidth="10" defaultColWidth="8.83203125" defaultRowHeight="15" x14ac:dyDescent="0.2"/>
  <cols>
    <col min="2" max="2" width="25.5" bestFit="1" customWidth="1"/>
    <col min="6" max="6" width="39.5" bestFit="1" customWidth="1"/>
    <col min="8" max="8" width="20.1640625" bestFit="1" customWidth="1"/>
    <col min="9" max="10" width="18.5" bestFit="1" customWidth="1"/>
    <col min="11" max="11" width="19" bestFit="1" customWidth="1"/>
    <col min="12" max="12" width="14.33203125" bestFit="1" customWidth="1"/>
    <col min="13" max="13" width="13.1640625" bestFit="1" customWidth="1"/>
  </cols>
  <sheetData>
    <row r="4" spans="2:13" x14ac:dyDescent="0.2">
      <c r="B4" s="222" t="s">
        <v>150</v>
      </c>
      <c r="C4" s="223"/>
      <c r="F4" s="222" t="s">
        <v>173</v>
      </c>
      <c r="G4" s="249"/>
      <c r="H4" s="249"/>
      <c r="I4" s="249"/>
      <c r="J4" s="249"/>
      <c r="K4" s="223"/>
      <c r="L4" s="116"/>
      <c r="M4" s="116"/>
    </row>
    <row r="5" spans="2:13" x14ac:dyDescent="0.2">
      <c r="B5" s="92" t="s">
        <v>151</v>
      </c>
      <c r="C5" s="77"/>
      <c r="F5" s="30"/>
      <c r="K5" s="19"/>
    </row>
    <row r="6" spans="2:13" x14ac:dyDescent="0.2">
      <c r="B6" s="30" t="s">
        <v>184</v>
      </c>
      <c r="C6" s="210">
        <f>(Financials!H38+Financials!H31)/Financials!H46</f>
        <v>0.59394593333527745</v>
      </c>
      <c r="F6" s="29" t="s">
        <v>166</v>
      </c>
      <c r="G6" s="25"/>
      <c r="H6" s="25" t="s">
        <v>167</v>
      </c>
      <c r="I6" s="36" t="s">
        <v>168</v>
      </c>
      <c r="J6" s="25" t="s">
        <v>169</v>
      </c>
      <c r="K6" s="117" t="s">
        <v>170</v>
      </c>
    </row>
    <row r="7" spans="2:13" x14ac:dyDescent="0.2">
      <c r="B7" s="30" t="s">
        <v>152</v>
      </c>
      <c r="C7" s="96">
        <f>1-C6</f>
        <v>0.40605406666472255</v>
      </c>
      <c r="F7" s="118" t="s">
        <v>180</v>
      </c>
      <c r="G7" s="119"/>
      <c r="H7" s="119">
        <v>0.71</v>
      </c>
      <c r="I7" s="28">
        <v>0.39</v>
      </c>
      <c r="J7" s="120">
        <v>0.3</v>
      </c>
      <c r="K7" s="115">
        <f>H7/(1+(I7)*(1-J7))</f>
        <v>0.55773762765121759</v>
      </c>
    </row>
    <row r="8" spans="2:13" x14ac:dyDescent="0.2">
      <c r="B8" s="30" t="s">
        <v>183</v>
      </c>
      <c r="C8" s="96">
        <f>C6/C7</f>
        <v>1.4627262280953748</v>
      </c>
      <c r="F8" s="121" t="s">
        <v>182</v>
      </c>
      <c r="G8" s="119"/>
      <c r="H8" s="119">
        <v>1.03</v>
      </c>
      <c r="I8" s="28">
        <v>0.3</v>
      </c>
      <c r="J8" s="120">
        <v>0.17</v>
      </c>
      <c r="K8" s="115">
        <f>H8/(1+(I8)*(1-J8))</f>
        <v>0.82465972778222585</v>
      </c>
    </row>
    <row r="9" spans="2:13" x14ac:dyDescent="0.2">
      <c r="B9" s="30"/>
      <c r="C9" s="96"/>
      <c r="F9" s="121" t="s">
        <v>192</v>
      </c>
      <c r="G9" s="119"/>
      <c r="H9" s="119">
        <v>1.86</v>
      </c>
      <c r="I9" s="28">
        <v>0.4284</v>
      </c>
      <c r="J9" s="120">
        <v>0.26</v>
      </c>
      <c r="K9" s="115">
        <f>H9/(1+(I9)*(1-J9))</f>
        <v>1.4122835257886011</v>
      </c>
    </row>
    <row r="10" spans="2:13" x14ac:dyDescent="0.2">
      <c r="B10" s="92" t="s">
        <v>153</v>
      </c>
      <c r="C10" s="96"/>
      <c r="F10" s="212" t="s">
        <v>181</v>
      </c>
      <c r="G10" s="142"/>
      <c r="H10" s="142">
        <v>1.27</v>
      </c>
      <c r="I10" s="40">
        <v>0.5907</v>
      </c>
      <c r="J10" s="68">
        <v>0.2</v>
      </c>
      <c r="K10" s="43">
        <f>H10/(1+(I10)*(1-J10))</f>
        <v>0.86244363557342307</v>
      </c>
    </row>
    <row r="11" spans="2:13" x14ac:dyDescent="0.2">
      <c r="B11" s="30" t="s">
        <v>185</v>
      </c>
      <c r="C11" s="210">
        <v>4.07E-2</v>
      </c>
      <c r="F11" s="77"/>
      <c r="I11" s="28"/>
      <c r="K11" s="115"/>
    </row>
    <row r="12" spans="2:13" x14ac:dyDescent="0.2">
      <c r="B12" s="30" t="s">
        <v>154</v>
      </c>
      <c r="C12" s="210">
        <f>0.19*0.33+0.258*0.67</f>
        <v>0.23556000000000002</v>
      </c>
      <c r="F12" s="77"/>
      <c r="I12" s="28"/>
      <c r="K12" s="115"/>
    </row>
    <row r="13" spans="2:13" x14ac:dyDescent="0.2">
      <c r="B13" s="30" t="s">
        <v>155</v>
      </c>
      <c r="C13" s="83">
        <f>C11*(1-C12)</f>
        <v>3.1112707999999999E-2</v>
      </c>
      <c r="F13" s="165" t="s">
        <v>171</v>
      </c>
      <c r="G13" s="12"/>
      <c r="H13" s="12">
        <f>AVERAGE(H7:H10)</f>
        <v>1.2175</v>
      </c>
      <c r="I13" s="39">
        <f>AVERAGE(I7:I10)</f>
        <v>0.42727499999999996</v>
      </c>
      <c r="J13" s="12"/>
      <c r="K13" s="42">
        <f>AVERAGE(K7:K10)</f>
        <v>0.91428112919886684</v>
      </c>
    </row>
    <row r="14" spans="2:13" x14ac:dyDescent="0.2">
      <c r="B14" s="30"/>
      <c r="C14" s="96"/>
      <c r="F14" s="213" t="s">
        <v>172</v>
      </c>
      <c r="G14" s="23"/>
      <c r="H14" s="23">
        <f>MEDIAN(H7:H10)</f>
        <v>1.1499999999999999</v>
      </c>
      <c r="I14" s="40">
        <f>MEDIAN(I7:I10)</f>
        <v>0.40920000000000001</v>
      </c>
      <c r="J14" s="23"/>
      <c r="K14" s="43">
        <f>MEDIAN(K7:K10)</f>
        <v>0.84355168167782446</v>
      </c>
    </row>
    <row r="15" spans="2:13" x14ac:dyDescent="0.2">
      <c r="B15" s="30"/>
      <c r="C15" s="96"/>
    </row>
    <row r="16" spans="2:13" x14ac:dyDescent="0.2">
      <c r="B16" s="92" t="s">
        <v>156</v>
      </c>
      <c r="C16" s="96"/>
      <c r="F16" s="250" t="s">
        <v>174</v>
      </c>
      <c r="G16" s="251"/>
      <c r="H16" s="251"/>
      <c r="I16" s="251"/>
      <c r="J16" s="251"/>
      <c r="K16" s="252"/>
      <c r="L16" s="116"/>
    </row>
    <row r="17" spans="2:13" x14ac:dyDescent="0.2">
      <c r="B17" s="30" t="s">
        <v>188</v>
      </c>
      <c r="C17" s="210">
        <v>2.5000000000000001E-2</v>
      </c>
      <c r="F17" s="113"/>
      <c r="G17" s="46"/>
      <c r="H17" s="36" t="s">
        <v>176</v>
      </c>
      <c r="I17" s="36" t="s">
        <v>177</v>
      </c>
      <c r="J17" s="25" t="s">
        <v>178</v>
      </c>
      <c r="K17" s="122" t="s">
        <v>175</v>
      </c>
    </row>
    <row r="18" spans="2:13" x14ac:dyDescent="0.2">
      <c r="B18" s="30" t="s">
        <v>157</v>
      </c>
      <c r="C18" s="210">
        <v>7.0000000000000007E-2</v>
      </c>
      <c r="F18" s="29" t="s">
        <v>175</v>
      </c>
      <c r="G18" s="74"/>
      <c r="H18" s="123">
        <f>K13</f>
        <v>0.91428112919886684</v>
      </c>
      <c r="I18" s="40">
        <f>I13</f>
        <v>0.42727499999999996</v>
      </c>
      <c r="J18" s="23">
        <f>C12</f>
        <v>0.23556000000000002</v>
      </c>
      <c r="K18" s="124">
        <f>H18*(1+(I18)*(1-J18))</f>
        <v>1.21290920964697</v>
      </c>
    </row>
    <row r="19" spans="2:13" x14ac:dyDescent="0.2">
      <c r="B19" s="30" t="s">
        <v>190</v>
      </c>
      <c r="C19" s="211">
        <f>K18</f>
        <v>1.21290920964697</v>
      </c>
    </row>
    <row r="20" spans="2:13" x14ac:dyDescent="0.2">
      <c r="B20" s="30" t="s">
        <v>158</v>
      </c>
      <c r="C20" s="210">
        <v>0</v>
      </c>
      <c r="F20" s="253" t="s">
        <v>179</v>
      </c>
      <c r="G20" s="46">
        <v>2022</v>
      </c>
      <c r="H20" s="46">
        <v>2023</v>
      </c>
      <c r="I20" s="74">
        <v>2024</v>
      </c>
    </row>
    <row r="21" spans="2:13" x14ac:dyDescent="0.2">
      <c r="B21" s="30" t="s">
        <v>156</v>
      </c>
      <c r="C21" s="83">
        <f>C17+(C19*C18)+C20</f>
        <v>0.1099036446752879</v>
      </c>
      <c r="F21" s="254"/>
      <c r="G21" s="40">
        <f>(Financials!F31+Financials!F38)/Financials!F46</f>
        <v>0.44631735656586125</v>
      </c>
      <c r="H21" s="40">
        <f>(Financials!G31+Financials!G38)/Financials!G46</f>
        <v>0.52996309197559988</v>
      </c>
      <c r="I21" s="71">
        <f>(Financials!H31+Financials!H38)/Financials!H46</f>
        <v>0.59394593333527745</v>
      </c>
    </row>
    <row r="22" spans="2:13" x14ac:dyDescent="0.2">
      <c r="B22" s="30"/>
      <c r="C22" s="96"/>
    </row>
    <row r="23" spans="2:13" x14ac:dyDescent="0.2">
      <c r="B23" s="29" t="s">
        <v>83</v>
      </c>
      <c r="C23" s="178">
        <f>(C13*G23)+(C21*G24)</f>
        <v>8.6316461078620371E-2</v>
      </c>
      <c r="F23" s="129" t="s">
        <v>248</v>
      </c>
      <c r="G23" s="128">
        <f>(I13)/(1+I13)</f>
        <v>0.2993641729869857</v>
      </c>
    </row>
    <row r="24" spans="2:13" x14ac:dyDescent="0.2">
      <c r="F24" s="130" t="s">
        <v>249</v>
      </c>
      <c r="G24" s="71">
        <f>1-G23</f>
        <v>0.7006358270130143</v>
      </c>
      <c r="H24" s="28"/>
      <c r="I24" s="28"/>
    </row>
    <row r="26" spans="2:13" x14ac:dyDescent="0.2">
      <c r="G26" s="248" t="s">
        <v>247</v>
      </c>
    </row>
    <row r="27" spans="2:13" x14ac:dyDescent="0.2">
      <c r="G27" s="248"/>
    </row>
    <row r="28" spans="2:13" x14ac:dyDescent="0.2">
      <c r="G28" s="248"/>
      <c r="H28" s="246" t="s">
        <v>213</v>
      </c>
      <c r="I28" s="246"/>
      <c r="J28" s="247" t="s">
        <v>246</v>
      </c>
      <c r="K28" s="247"/>
      <c r="L28" s="247"/>
      <c r="M28" s="247"/>
    </row>
    <row r="29" spans="2:13" ht="15" customHeight="1" x14ac:dyDescent="0.2">
      <c r="F29" s="44"/>
      <c r="G29" s="248"/>
      <c r="H29" s="83">
        <f>C23</f>
        <v>8.6316461078620371E-2</v>
      </c>
      <c r="I29" s="84">
        <f>J29-0.5%</f>
        <v>3.0700000000000002E-2</v>
      </c>
      <c r="J29" s="84">
        <f>K29-0.5%</f>
        <v>3.5700000000000003E-2</v>
      </c>
      <c r="K29" s="84">
        <v>4.07E-2</v>
      </c>
      <c r="L29" s="84">
        <f>K29+0.5%</f>
        <v>4.5699999999999998E-2</v>
      </c>
      <c r="M29" s="85">
        <f>L29+0.5%</f>
        <v>5.0699999999999995E-2</v>
      </c>
    </row>
    <row r="30" spans="2:13" x14ac:dyDescent="0.2">
      <c r="G30" s="248"/>
      <c r="H30" s="81">
        <f>H31-10%</f>
        <v>9.9399999999999988E-2</v>
      </c>
      <c r="I30" s="28">
        <f t="dataTable" ref="I30:M34" dt2D="1" dtr="1" r1="C11" r2="G23"/>
        <v>0.10131197220976429</v>
      </c>
      <c r="J30" s="28">
        <v>0.10169189888976429</v>
      </c>
      <c r="K30" s="28">
        <v>0.1020718255697643</v>
      </c>
      <c r="L30" s="28">
        <v>0.10245175224976429</v>
      </c>
      <c r="M30" s="53">
        <v>0.10283167892976429</v>
      </c>
    </row>
    <row r="31" spans="2:13" x14ac:dyDescent="0.2">
      <c r="G31" s="248"/>
      <c r="H31" s="81">
        <f>H32-10%</f>
        <v>0.19939999999999999</v>
      </c>
      <c r="I31" s="28">
        <v>9.2668438542235498E-2</v>
      </c>
      <c r="J31" s="28">
        <v>9.343058522223549E-2</v>
      </c>
      <c r="K31" s="28">
        <v>9.4192731902235496E-2</v>
      </c>
      <c r="L31" s="28">
        <v>9.4954878582235488E-2</v>
      </c>
      <c r="M31" s="53">
        <v>9.5717025262235494E-2</v>
      </c>
    </row>
    <row r="32" spans="2:13" x14ac:dyDescent="0.2">
      <c r="G32" s="248"/>
      <c r="H32" s="81">
        <v>0.2994</v>
      </c>
      <c r="I32" s="28">
        <v>8.4024904874706707E-2</v>
      </c>
      <c r="J32" s="28">
        <v>8.5169271554706716E-2</v>
      </c>
      <c r="K32" s="38">
        <v>8.631363823470671E-2</v>
      </c>
      <c r="L32" s="28">
        <v>8.7458004914706705E-2</v>
      </c>
      <c r="M32" s="53">
        <v>8.8602371594706714E-2</v>
      </c>
    </row>
    <row r="33" spans="2:15" x14ac:dyDescent="0.2">
      <c r="G33" s="248"/>
      <c r="H33" s="81">
        <f>H32+10%</f>
        <v>0.39939999999999998</v>
      </c>
      <c r="I33" s="28">
        <v>7.5381371207177916E-2</v>
      </c>
      <c r="J33" s="28">
        <v>7.6907957887177913E-2</v>
      </c>
      <c r="K33" s="28">
        <v>7.8434544567177911E-2</v>
      </c>
      <c r="L33" s="28">
        <v>7.9961131247177908E-2</v>
      </c>
      <c r="M33" s="53">
        <v>8.1487717927177919E-2</v>
      </c>
    </row>
    <row r="34" spans="2:15" x14ac:dyDescent="0.2">
      <c r="G34" s="248"/>
      <c r="H34" s="82">
        <f>H33+10%</f>
        <v>0.49939999999999996</v>
      </c>
      <c r="I34" s="40">
        <v>6.6737837539649125E-2</v>
      </c>
      <c r="J34" s="40">
        <v>6.8646644219649125E-2</v>
      </c>
      <c r="K34" s="40">
        <v>7.0555450899649125E-2</v>
      </c>
      <c r="L34" s="40">
        <v>7.2464257579649125E-2</v>
      </c>
      <c r="M34" s="71">
        <v>7.4373064259649124E-2</v>
      </c>
    </row>
    <row r="37" spans="2:15" x14ac:dyDescent="0.2">
      <c r="B37" s="245" t="s">
        <v>186</v>
      </c>
      <c r="C37" s="245"/>
      <c r="D37" s="245"/>
      <c r="E37" s="245"/>
      <c r="F37" s="245"/>
      <c r="G37" s="245"/>
      <c r="H37" s="245"/>
    </row>
    <row r="38" spans="2:15" x14ac:dyDescent="0.2">
      <c r="B38" s="245" t="s">
        <v>187</v>
      </c>
      <c r="C38" s="245"/>
      <c r="D38" s="245"/>
      <c r="E38" s="245"/>
      <c r="F38" s="245"/>
      <c r="G38" s="245"/>
      <c r="H38" s="245"/>
    </row>
    <row r="39" spans="2:15" x14ac:dyDescent="0.2">
      <c r="B39" s="245" t="s">
        <v>189</v>
      </c>
      <c r="C39" s="245"/>
      <c r="D39" s="245"/>
      <c r="E39" s="245"/>
      <c r="F39" s="245"/>
      <c r="G39" s="245"/>
      <c r="H39" s="245"/>
      <c r="J39" s="28"/>
    </row>
    <row r="40" spans="2:15" x14ac:dyDescent="0.2">
      <c r="B40" s="41" t="s">
        <v>191</v>
      </c>
      <c r="C40" s="41"/>
      <c r="D40" s="41"/>
      <c r="E40" s="41"/>
      <c r="F40" s="41"/>
      <c r="G40" s="41"/>
      <c r="H40" s="41"/>
    </row>
    <row r="41" spans="2:15" x14ac:dyDescent="0.2">
      <c r="J41" s="28"/>
      <c r="K41" s="28"/>
      <c r="L41" s="28"/>
      <c r="M41" s="28"/>
      <c r="N41" s="28"/>
      <c r="O41" s="28"/>
    </row>
    <row r="42" spans="2:15" x14ac:dyDescent="0.2">
      <c r="J42" s="28"/>
    </row>
    <row r="43" spans="2:15" x14ac:dyDescent="0.2">
      <c r="J43" s="28"/>
    </row>
    <row r="44" spans="2:15" x14ac:dyDescent="0.2">
      <c r="H44" s="28"/>
      <c r="I44" s="28"/>
      <c r="J44" s="28"/>
      <c r="K44" s="28"/>
      <c r="L44" s="28"/>
      <c r="M44" s="28"/>
    </row>
    <row r="45" spans="2:15" x14ac:dyDescent="0.2">
      <c r="H45" s="28"/>
      <c r="J45" s="28"/>
    </row>
    <row r="46" spans="2:15" x14ac:dyDescent="0.2">
      <c r="F46" s="28"/>
    </row>
  </sheetData>
  <mergeCells count="10">
    <mergeCell ref="J28:M28"/>
    <mergeCell ref="G26:G34"/>
    <mergeCell ref="F4:K4"/>
    <mergeCell ref="F16:K16"/>
    <mergeCell ref="F20:F21"/>
    <mergeCell ref="B39:H39"/>
    <mergeCell ref="H28:I28"/>
    <mergeCell ref="B4:C4"/>
    <mergeCell ref="B37:H37"/>
    <mergeCell ref="B38:H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2059-8D5F-45D9-A8AB-3D94131E3855}">
  <dimension ref="B2:J36"/>
  <sheetViews>
    <sheetView showGridLines="0" zoomScale="70" zoomScaleNormal="38" workbookViewId="0">
      <selection activeCell="G2" sqref="G2"/>
    </sheetView>
  </sheetViews>
  <sheetFormatPr baseColWidth="10" defaultColWidth="8.83203125" defaultRowHeight="15" x14ac:dyDescent="0.2"/>
  <cols>
    <col min="1" max="1" width="4.83203125" customWidth="1"/>
    <col min="2" max="2" width="28.5" bestFit="1" customWidth="1"/>
    <col min="10" max="10" width="8.83203125" customWidth="1"/>
  </cols>
  <sheetData>
    <row r="2" spans="2:10" x14ac:dyDescent="0.2">
      <c r="B2" s="145"/>
      <c r="C2" s="145"/>
      <c r="G2" t="s">
        <v>252</v>
      </c>
    </row>
    <row r="4" spans="2:10" x14ac:dyDescent="0.2">
      <c r="B4" s="255" t="s">
        <v>251</v>
      </c>
      <c r="C4" s="256"/>
      <c r="D4" s="12" t="s">
        <v>99</v>
      </c>
      <c r="E4" s="12" t="s">
        <v>100</v>
      </c>
      <c r="F4" s="12" t="s">
        <v>101</v>
      </c>
      <c r="G4" s="12" t="s">
        <v>102</v>
      </c>
      <c r="H4" s="35" t="s">
        <v>103</v>
      </c>
    </row>
    <row r="5" spans="2:10" x14ac:dyDescent="0.2">
      <c r="B5" s="257"/>
      <c r="C5" s="258"/>
      <c r="D5" s="143">
        <v>2025</v>
      </c>
      <c r="E5" s="143">
        <v>2026</v>
      </c>
      <c r="F5" s="143">
        <v>2027</v>
      </c>
      <c r="G5" s="143">
        <v>2028</v>
      </c>
      <c r="H5" s="144">
        <v>2029</v>
      </c>
    </row>
    <row r="6" spans="2:10" x14ac:dyDescent="0.2">
      <c r="B6" s="131" t="s">
        <v>104</v>
      </c>
      <c r="C6" s="76"/>
      <c r="D6" s="12"/>
      <c r="E6" s="12"/>
      <c r="F6" s="12"/>
      <c r="G6" s="12"/>
      <c r="H6" s="35"/>
    </row>
    <row r="7" spans="2:10" x14ac:dyDescent="0.2">
      <c r="B7" s="136" t="s">
        <v>105</v>
      </c>
      <c r="C7" s="99"/>
      <c r="D7" s="70">
        <f>CHOOSE(DCF!$E$1,'Assumption 1'!D8,'Assumption 1'!D9,'Assumption 1'!D10,'Assumption 1'!D11)</f>
        <v>0.16</v>
      </c>
      <c r="E7" s="70">
        <f>CHOOSE(DCF!$E$1,'Assumption 1'!E8,'Assumption 1'!E9,'Assumption 1'!E10,'Assumption 1'!E11)</f>
        <v>0.43</v>
      </c>
      <c r="F7" s="70">
        <f>CHOOSE(DCF!$E$1,'Assumption 1'!F8,'Assumption 1'!F9,'Assumption 1'!F10,'Assumption 1'!F11)</f>
        <v>0.25</v>
      </c>
      <c r="G7" s="70">
        <f>CHOOSE(DCF!$E$1,'Assumption 1'!G8,'Assumption 1'!G9,'Assumption 1'!G10,'Assumption 1'!G11)</f>
        <v>0.12</v>
      </c>
      <c r="H7" s="128">
        <f>CHOOSE(DCF!$E$1,'Assumption 1'!H8,'Assumption 1'!H9,'Assumption 1'!H10,'Assumption 1'!H11)</f>
        <v>0.06</v>
      </c>
    </row>
    <row r="8" spans="2:10" x14ac:dyDescent="0.2">
      <c r="B8" s="30" t="s">
        <v>106</v>
      </c>
      <c r="C8" s="134">
        <v>1</v>
      </c>
      <c r="D8" s="120">
        <v>-0.04</v>
      </c>
      <c r="E8" s="120">
        <v>0.44</v>
      </c>
      <c r="F8" s="120">
        <v>0.14000000000000001</v>
      </c>
      <c r="G8" s="120">
        <v>0.06</v>
      </c>
      <c r="H8" s="67">
        <v>0.04</v>
      </c>
      <c r="J8" t="s">
        <v>223</v>
      </c>
    </row>
    <row r="9" spans="2:10" x14ac:dyDescent="0.2">
      <c r="B9" s="30" t="s">
        <v>107</v>
      </c>
      <c r="C9" s="134">
        <v>2</v>
      </c>
      <c r="D9" s="120">
        <v>0.16</v>
      </c>
      <c r="E9" s="120">
        <v>0.43</v>
      </c>
      <c r="F9" s="120">
        <v>0.25</v>
      </c>
      <c r="G9" s="120">
        <v>0.12</v>
      </c>
      <c r="H9" s="67">
        <v>0.06</v>
      </c>
      <c r="J9" t="s">
        <v>224</v>
      </c>
    </row>
    <row r="10" spans="2:10" x14ac:dyDescent="0.2">
      <c r="B10" s="30" t="s">
        <v>108</v>
      </c>
      <c r="C10" s="134">
        <v>3</v>
      </c>
      <c r="D10" s="120">
        <v>-0.06</v>
      </c>
      <c r="E10" s="120">
        <v>0.12</v>
      </c>
      <c r="F10" s="120">
        <v>0.15</v>
      </c>
      <c r="G10" s="120">
        <v>0.06</v>
      </c>
      <c r="H10" s="67">
        <v>0.03</v>
      </c>
    </row>
    <row r="11" spans="2:10" x14ac:dyDescent="0.2">
      <c r="B11" s="32" t="s">
        <v>109</v>
      </c>
      <c r="C11" s="135">
        <v>4</v>
      </c>
      <c r="D11" s="45">
        <v>-0.06</v>
      </c>
      <c r="E11" s="45">
        <v>0.05</v>
      </c>
      <c r="F11" s="45">
        <v>7.0000000000000007E-2</v>
      </c>
      <c r="G11" s="45">
        <v>0.05</v>
      </c>
      <c r="H11" s="133">
        <v>0.03</v>
      </c>
    </row>
    <row r="12" spans="2:10" x14ac:dyDescent="0.2">
      <c r="B12" s="30"/>
      <c r="C12" s="134"/>
      <c r="D12" s="28"/>
      <c r="E12" s="28"/>
      <c r="F12" s="28"/>
      <c r="G12" s="28"/>
      <c r="H12" s="53"/>
    </row>
    <row r="13" spans="2:10" x14ac:dyDescent="0.2">
      <c r="B13" s="136" t="s">
        <v>230</v>
      </c>
      <c r="C13" s="137"/>
      <c r="D13" s="70">
        <f>CHOOSE(DCF!$E$1,'Assumption 1'!D14,'Assumption 1'!D15,'Assumption 1'!D16,'Assumption 1'!D17)</f>
        <v>0.63800000000000001</v>
      </c>
      <c r="E13" s="70">
        <f>CHOOSE(DCF!$E$1,'Assumption 1'!E14,'Assumption 1'!E15,'Assumption 1'!E16,'Assumption 1'!E17)</f>
        <v>0.7</v>
      </c>
      <c r="F13" s="70">
        <f>CHOOSE(DCF!$E$1,'Assumption 1'!F14,'Assumption 1'!F15,'Assumption 1'!F16,'Assumption 1'!F17)</f>
        <v>0.65</v>
      </c>
      <c r="G13" s="70">
        <f>CHOOSE(DCF!$E$1,'Assumption 1'!G14,'Assumption 1'!G15,'Assumption 1'!G16,'Assumption 1'!G17)</f>
        <v>0.63800000000000001</v>
      </c>
      <c r="H13" s="128">
        <f>CHOOSE(DCF!$E$1,'Assumption 1'!H14,'Assumption 1'!H15,'Assumption 1'!H16,'Assumption 1'!H17)</f>
        <v>0.63800000000000001</v>
      </c>
    </row>
    <row r="14" spans="2:10" x14ac:dyDescent="0.2">
      <c r="B14" s="30" t="s">
        <v>106</v>
      </c>
      <c r="C14" s="134">
        <v>1</v>
      </c>
      <c r="D14" s="120">
        <f>Financials!$T$24</f>
        <v>0.63796955462301186</v>
      </c>
      <c r="E14" s="120">
        <f>Financials!$T$24</f>
        <v>0.63796955462301186</v>
      </c>
      <c r="F14" s="120">
        <f>Financials!$T$24</f>
        <v>0.63796955462301186</v>
      </c>
      <c r="G14" s="120">
        <f>Financials!$T$24</f>
        <v>0.63796955462301186</v>
      </c>
      <c r="H14" s="67">
        <f>Financials!$T$24</f>
        <v>0.63796955462301186</v>
      </c>
    </row>
    <row r="15" spans="2:10" x14ac:dyDescent="0.2">
      <c r="B15" s="30" t="s">
        <v>107</v>
      </c>
      <c r="C15" s="134">
        <v>2</v>
      </c>
      <c r="D15" s="120">
        <v>0.63800000000000001</v>
      </c>
      <c r="E15" s="120">
        <v>0.7</v>
      </c>
      <c r="F15" s="120">
        <v>0.65</v>
      </c>
      <c r="G15" s="120">
        <v>0.63800000000000001</v>
      </c>
      <c r="H15" s="67">
        <v>0.63800000000000001</v>
      </c>
    </row>
    <row r="16" spans="2:10" x14ac:dyDescent="0.2">
      <c r="B16" s="30" t="s">
        <v>108</v>
      </c>
      <c r="C16" s="134">
        <v>3</v>
      </c>
      <c r="D16" s="120">
        <v>0.55000000000000004</v>
      </c>
      <c r="E16" s="120">
        <v>0.61</v>
      </c>
      <c r="F16" s="120">
        <v>0.63</v>
      </c>
      <c r="G16" s="120">
        <v>0.6</v>
      </c>
      <c r="H16" s="67">
        <v>0.57999999999999996</v>
      </c>
    </row>
    <row r="17" spans="2:8" x14ac:dyDescent="0.2">
      <c r="B17" s="32" t="s">
        <v>109</v>
      </c>
      <c r="C17" s="135">
        <v>4</v>
      </c>
      <c r="D17" s="45">
        <v>0.55000000000000004</v>
      </c>
      <c r="E17" s="45">
        <v>0.57999999999999996</v>
      </c>
      <c r="F17" s="45">
        <v>0.57999999999999996</v>
      </c>
      <c r="G17" s="45">
        <v>0.57999999999999996</v>
      </c>
      <c r="H17" s="133">
        <v>0.55000000000000004</v>
      </c>
    </row>
    <row r="18" spans="2:8" x14ac:dyDescent="0.2">
      <c r="B18" s="30"/>
      <c r="C18" s="134"/>
      <c r="D18" s="28"/>
      <c r="E18" s="28"/>
      <c r="F18" s="28"/>
      <c r="G18" s="28"/>
      <c r="H18" s="53"/>
    </row>
    <row r="19" spans="2:8" x14ac:dyDescent="0.2">
      <c r="B19" s="136" t="s">
        <v>231</v>
      </c>
      <c r="C19" s="137"/>
      <c r="D19" s="70">
        <f>CHOOSE(DCF!$E$1,'Assumption 1'!D20,'Assumption 1'!D21,'Assumption 1'!D22,'Assumption 1'!D23)</f>
        <v>0.4</v>
      </c>
      <c r="E19" s="70">
        <f>CHOOSE(DCF!$E$1,'Assumption 1'!E20,'Assumption 1'!E21,'Assumption 1'!E22,'Assumption 1'!E23)</f>
        <v>0.45</v>
      </c>
      <c r="F19" s="70">
        <f>CHOOSE(DCF!$E$1,'Assumption 1'!F20,'Assumption 1'!F21,'Assumption 1'!F22,'Assumption 1'!F23)</f>
        <v>0.42</v>
      </c>
      <c r="G19" s="70">
        <f>CHOOSE(DCF!$E$1,'Assumption 1'!G20,'Assumption 1'!G21,'Assumption 1'!G22,'Assumption 1'!G23)</f>
        <v>0.4</v>
      </c>
      <c r="H19" s="128">
        <f>CHOOSE(DCF!$E$1,'Assumption 1'!H20,'Assumption 1'!H21,'Assumption 1'!H22,'Assumption 1'!H23)</f>
        <v>0.38</v>
      </c>
    </row>
    <row r="20" spans="2:8" x14ac:dyDescent="0.2">
      <c r="B20" s="30" t="s">
        <v>106</v>
      </c>
      <c r="C20" s="134">
        <v>1</v>
      </c>
      <c r="D20" s="120">
        <f>Financials!$T$25</f>
        <v>0.36582931613084474</v>
      </c>
      <c r="E20" s="120">
        <f>Financials!$T$25</f>
        <v>0.36582931613084474</v>
      </c>
      <c r="F20" s="120">
        <f>Financials!$T$25</f>
        <v>0.36582931613084474</v>
      </c>
      <c r="G20" s="120">
        <f>Financials!$T$25</f>
        <v>0.36582931613084474</v>
      </c>
      <c r="H20" s="67">
        <f>Financials!$T$25</f>
        <v>0.36582931613084474</v>
      </c>
    </row>
    <row r="21" spans="2:8" x14ac:dyDescent="0.2">
      <c r="B21" s="30" t="s">
        <v>107</v>
      </c>
      <c r="C21" s="134">
        <v>2</v>
      </c>
      <c r="D21" s="120">
        <v>0.4</v>
      </c>
      <c r="E21" s="120">
        <v>0.45</v>
      </c>
      <c r="F21" s="120">
        <v>0.42</v>
      </c>
      <c r="G21" s="120">
        <v>0.4</v>
      </c>
      <c r="H21" s="67">
        <v>0.38</v>
      </c>
    </row>
    <row r="22" spans="2:8" x14ac:dyDescent="0.2">
      <c r="B22" s="30" t="s">
        <v>108</v>
      </c>
      <c r="C22" s="134">
        <v>3</v>
      </c>
      <c r="D22" s="120">
        <v>0.3</v>
      </c>
      <c r="E22" s="120">
        <v>0.32</v>
      </c>
      <c r="F22" s="120">
        <v>0.34</v>
      </c>
      <c r="G22" s="120">
        <v>0.32</v>
      </c>
      <c r="H22" s="67">
        <v>0.3</v>
      </c>
    </row>
    <row r="23" spans="2:8" x14ac:dyDescent="0.2">
      <c r="B23" s="32" t="s">
        <v>109</v>
      </c>
      <c r="C23" s="135">
        <v>4</v>
      </c>
      <c r="D23" s="45">
        <v>0.28000000000000003</v>
      </c>
      <c r="E23" s="45">
        <v>0.3</v>
      </c>
      <c r="F23" s="45">
        <v>0.28999999999999998</v>
      </c>
      <c r="G23" s="45">
        <v>0.28000000000000003</v>
      </c>
      <c r="H23" s="133">
        <v>0.28000000000000003</v>
      </c>
    </row>
    <row r="24" spans="2:8" x14ac:dyDescent="0.2">
      <c r="B24" s="30"/>
      <c r="C24" s="134"/>
      <c r="D24" s="28"/>
      <c r="E24" s="28"/>
      <c r="F24" s="28"/>
      <c r="G24" s="28"/>
      <c r="H24" s="53"/>
    </row>
    <row r="25" spans="2:8" x14ac:dyDescent="0.2">
      <c r="B25" s="136" t="s">
        <v>76</v>
      </c>
      <c r="C25" s="137"/>
      <c r="D25" s="70">
        <f>CHOOSE(DCF!$E$1,'Assumption 1'!D26,'Assumption 1'!D27,'Assumption 1'!D28,'Assumption 1'!D29)</f>
        <v>3.4700000000000002E-2</v>
      </c>
      <c r="E25" s="70">
        <f>CHOOSE(DCF!$E$1,'Assumption 1'!E26,'Assumption 1'!E27,'Assumption 1'!E28,'Assumption 1'!E29)</f>
        <v>4.4999999999999998E-2</v>
      </c>
      <c r="F25" s="70">
        <f>CHOOSE(DCF!$E$1,'Assumption 1'!F26,'Assumption 1'!F27,'Assumption 1'!F28,'Assumption 1'!F29)</f>
        <v>0.04</v>
      </c>
      <c r="G25" s="70">
        <f>CHOOSE(DCF!$E$1,'Assumption 1'!G26,'Assumption 1'!G27,'Assumption 1'!G28,'Assumption 1'!G29)</f>
        <v>3.5000000000000003E-2</v>
      </c>
      <c r="H25" s="128">
        <f>CHOOSE(DCF!$E$1,'Assumption 1'!H26,'Assumption 1'!H27,'Assumption 1'!H28,'Assumption 1'!H29)</f>
        <v>3.5000000000000003E-2</v>
      </c>
    </row>
    <row r="26" spans="2:8" x14ac:dyDescent="0.2">
      <c r="B26" s="30" t="s">
        <v>106</v>
      </c>
      <c r="C26" s="134">
        <v>1</v>
      </c>
      <c r="D26" s="120">
        <f>DCF!$Q$19</f>
        <v>3.4715186142515932E-2</v>
      </c>
      <c r="E26" s="120">
        <f>DCF!$Q$19</f>
        <v>3.4715186142515932E-2</v>
      </c>
      <c r="F26" s="120">
        <f>DCF!$Q$19</f>
        <v>3.4715186142515932E-2</v>
      </c>
      <c r="G26" s="120">
        <f>DCF!$Q$19</f>
        <v>3.4715186142515932E-2</v>
      </c>
      <c r="H26" s="67">
        <f>DCF!$Q$19</f>
        <v>3.4715186142515932E-2</v>
      </c>
    </row>
    <row r="27" spans="2:8" x14ac:dyDescent="0.2">
      <c r="B27" s="30" t="s">
        <v>107</v>
      </c>
      <c r="C27" s="134">
        <v>2</v>
      </c>
      <c r="D27" s="120">
        <v>3.4700000000000002E-2</v>
      </c>
      <c r="E27" s="120">
        <v>4.4999999999999998E-2</v>
      </c>
      <c r="F27" s="120">
        <v>0.04</v>
      </c>
      <c r="G27" s="120">
        <v>3.5000000000000003E-2</v>
      </c>
      <c r="H27" s="67">
        <v>3.5000000000000003E-2</v>
      </c>
    </row>
    <row r="28" spans="2:8" x14ac:dyDescent="0.2">
      <c r="B28" s="30" t="s">
        <v>108</v>
      </c>
      <c r="C28" s="134">
        <v>3</v>
      </c>
      <c r="D28" s="120">
        <v>0.03</v>
      </c>
      <c r="E28" s="120">
        <v>0.03</v>
      </c>
      <c r="F28" s="120">
        <v>0.03</v>
      </c>
      <c r="G28" s="120">
        <v>0.03</v>
      </c>
      <c r="H28" s="67">
        <v>0.03</v>
      </c>
    </row>
    <row r="29" spans="2:8" x14ac:dyDescent="0.2">
      <c r="B29" s="32" t="s">
        <v>109</v>
      </c>
      <c r="C29" s="135">
        <v>4</v>
      </c>
      <c r="D29" s="45">
        <v>0.02</v>
      </c>
      <c r="E29" s="45">
        <v>0.02</v>
      </c>
      <c r="F29" s="45">
        <v>0.02</v>
      </c>
      <c r="G29" s="45">
        <v>0.02</v>
      </c>
      <c r="H29" s="133">
        <v>0.02</v>
      </c>
    </row>
    <row r="30" spans="2:8" x14ac:dyDescent="0.2">
      <c r="B30" s="30"/>
      <c r="C30" s="134"/>
      <c r="D30" s="28"/>
      <c r="E30" s="28"/>
      <c r="F30" s="28"/>
      <c r="G30" s="28"/>
      <c r="H30" s="53"/>
    </row>
    <row r="31" spans="2:8" x14ac:dyDescent="0.2">
      <c r="B31" s="103" t="s">
        <v>110</v>
      </c>
      <c r="C31" s="134"/>
      <c r="D31" s="28"/>
      <c r="E31" s="28"/>
      <c r="F31" s="28"/>
      <c r="G31" s="28"/>
      <c r="H31" s="53"/>
    </row>
    <row r="32" spans="2:8" x14ac:dyDescent="0.2">
      <c r="B32" s="136" t="s">
        <v>111</v>
      </c>
      <c r="C32" s="137"/>
      <c r="D32" s="39">
        <f>CHOOSE(DCF!$E$1,'Assumption 1'!D33,'Assumption 1'!D34,'Assumption 1'!D35,'Assumption 1'!D36)</f>
        <v>1.37E-2</v>
      </c>
      <c r="E32" s="39">
        <f>CHOOSE(DCF!$E$1,'Assumption 1'!E33,'Assumption 1'!E34,'Assumption 1'!E35,'Assumption 1'!E36)</f>
        <v>0.03</v>
      </c>
      <c r="F32" s="39">
        <f>CHOOSE(DCF!$E$1,'Assumption 1'!F33,'Assumption 1'!F34,'Assumption 1'!F35,'Assumption 1'!F36)</f>
        <v>0.02</v>
      </c>
      <c r="G32" s="39">
        <f>CHOOSE(DCF!$E$1,'Assumption 1'!G33,'Assumption 1'!G34,'Assumption 1'!G35,'Assumption 1'!G36)</f>
        <v>1.4999999999999999E-2</v>
      </c>
      <c r="H32" s="126">
        <f>CHOOSE(DCF!$E$1,'Assumption 1'!H33,'Assumption 1'!H34,'Assumption 1'!H35,'Assumption 1'!H36)</f>
        <v>1.4999999999999999E-2</v>
      </c>
    </row>
    <row r="33" spans="2:8" x14ac:dyDescent="0.2">
      <c r="B33" s="30" t="s">
        <v>106</v>
      </c>
      <c r="C33" s="134">
        <v>1</v>
      </c>
      <c r="D33" s="54">
        <f>DCF!$Q$17</f>
        <v>1.3705218837699934E-2</v>
      </c>
      <c r="E33" s="54">
        <f>DCF!$Q$17</f>
        <v>1.3705218837699934E-2</v>
      </c>
      <c r="F33" s="54">
        <f>DCF!$Q$17</f>
        <v>1.3705218837699934E-2</v>
      </c>
      <c r="G33" s="54">
        <f>DCF!$Q$17</f>
        <v>1.3705218837699934E-2</v>
      </c>
      <c r="H33" s="55">
        <f>DCF!$Q$17</f>
        <v>1.3705218837699934E-2</v>
      </c>
    </row>
    <row r="34" spans="2:8" x14ac:dyDescent="0.2">
      <c r="B34" s="30" t="s">
        <v>107</v>
      </c>
      <c r="C34" s="134">
        <v>2</v>
      </c>
      <c r="D34" s="120">
        <v>1.37E-2</v>
      </c>
      <c r="E34" s="120">
        <v>0.03</v>
      </c>
      <c r="F34" s="120">
        <v>0.02</v>
      </c>
      <c r="G34" s="120">
        <v>1.4999999999999999E-2</v>
      </c>
      <c r="H34" s="67">
        <v>1.4999999999999999E-2</v>
      </c>
    </row>
    <row r="35" spans="2:8" x14ac:dyDescent="0.2">
      <c r="B35" s="30" t="s">
        <v>108</v>
      </c>
      <c r="C35" s="134">
        <v>3</v>
      </c>
      <c r="D35" s="120">
        <v>0.01</v>
      </c>
      <c r="E35" s="120">
        <v>1.2999999999999999E-2</v>
      </c>
      <c r="F35" s="120">
        <v>1.2999999999999999E-2</v>
      </c>
      <c r="G35" s="120">
        <v>0.01</v>
      </c>
      <c r="H35" s="67">
        <v>0.01</v>
      </c>
    </row>
    <row r="36" spans="2:8" x14ac:dyDescent="0.2">
      <c r="B36" s="32" t="s">
        <v>109</v>
      </c>
      <c r="C36" s="135">
        <v>4</v>
      </c>
      <c r="D36" s="68">
        <v>0.01</v>
      </c>
      <c r="E36" s="68">
        <v>0.01</v>
      </c>
      <c r="F36" s="68">
        <v>0.01</v>
      </c>
      <c r="G36" s="68">
        <v>0.01</v>
      </c>
      <c r="H36" s="69">
        <v>0.01</v>
      </c>
    </row>
  </sheetData>
  <mergeCells count="1">
    <mergeCell ref="B4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6656-CB78-4499-893A-7E9119BF93B4}">
  <dimension ref="B4:H42"/>
  <sheetViews>
    <sheetView showGridLines="0" zoomScale="68" workbookViewId="0">
      <selection activeCell="C14" sqref="C14"/>
    </sheetView>
  </sheetViews>
  <sheetFormatPr baseColWidth="10" defaultColWidth="8.83203125" defaultRowHeight="15" x14ac:dyDescent="0.2"/>
  <cols>
    <col min="1" max="1" width="4.5" customWidth="1"/>
    <col min="2" max="2" width="32.6640625" bestFit="1" customWidth="1"/>
  </cols>
  <sheetData>
    <row r="4" spans="2:8" x14ac:dyDescent="0.2">
      <c r="B4" s="259" t="s">
        <v>250</v>
      </c>
      <c r="C4" s="260"/>
      <c r="D4" s="12" t="s">
        <v>99</v>
      </c>
      <c r="E4" s="12" t="s">
        <v>100</v>
      </c>
      <c r="F4" s="12" t="s">
        <v>101</v>
      </c>
      <c r="G4" s="12" t="s">
        <v>102</v>
      </c>
      <c r="H4" s="35" t="s">
        <v>103</v>
      </c>
    </row>
    <row r="5" spans="2:8" x14ac:dyDescent="0.2">
      <c r="B5" s="261"/>
      <c r="C5" s="262"/>
      <c r="D5" s="143">
        <v>2025</v>
      </c>
      <c r="E5" s="143">
        <v>2026</v>
      </c>
      <c r="F5" s="143">
        <v>2027</v>
      </c>
      <c r="G5" s="143">
        <v>2028</v>
      </c>
      <c r="H5" s="144">
        <v>2029</v>
      </c>
    </row>
    <row r="6" spans="2:8" x14ac:dyDescent="0.2">
      <c r="B6" s="93" t="s">
        <v>88</v>
      </c>
      <c r="C6" s="76"/>
      <c r="D6" s="12"/>
      <c r="E6" s="12"/>
      <c r="F6" s="12"/>
      <c r="G6" s="12"/>
      <c r="H6" s="35"/>
    </row>
    <row r="7" spans="2:8" x14ac:dyDescent="0.2">
      <c r="B7" s="136" t="s">
        <v>215</v>
      </c>
      <c r="C7" s="99"/>
      <c r="D7" s="58">
        <f>CHOOSE(DCF!$E$1,'Assumption 2'!D8,'Assumption 2'!D9,'Assumption 2'!D10,'Assumption 2'!D11)</f>
        <v>85</v>
      </c>
      <c r="E7" s="58">
        <f>CHOOSE(DCF!$E$1,'Assumption 2'!E8,'Assumption 2'!E9,'Assumption 2'!E10,'Assumption 2'!E11)</f>
        <v>60</v>
      </c>
      <c r="F7" s="58">
        <f>CHOOSE(DCF!$E$1,'Assumption 2'!F8,'Assumption 2'!F9,'Assumption 2'!F10,'Assumption 2'!F11)</f>
        <v>70</v>
      </c>
      <c r="G7" s="58">
        <f>CHOOSE(DCF!$E$1,'Assumption 2'!G8,'Assumption 2'!G9,'Assumption 2'!G10,'Assumption 2'!G11)</f>
        <v>70</v>
      </c>
      <c r="H7" s="138">
        <f>CHOOSE(DCF!$E$1,'Assumption 2'!H8,'Assumption 2'!H9,'Assumption 2'!H10,'Assumption 2'!H11)</f>
        <v>70</v>
      </c>
    </row>
    <row r="8" spans="2:8" x14ac:dyDescent="0.2">
      <c r="B8" s="30" t="s">
        <v>106</v>
      </c>
      <c r="C8" s="134">
        <v>1</v>
      </c>
      <c r="D8" s="60">
        <f>'Net Working Capital'!D36</f>
        <v>91.491843546625759</v>
      </c>
      <c r="E8" s="139">
        <f>'Net Working Capital'!D36</f>
        <v>91.491843546625759</v>
      </c>
      <c r="F8" s="139">
        <f>'Net Working Capital'!D36</f>
        <v>91.491843546625759</v>
      </c>
      <c r="G8" s="139">
        <f>'Net Working Capital'!D36</f>
        <v>91.491843546625759</v>
      </c>
      <c r="H8" s="57">
        <f>'Net Working Capital'!D36</f>
        <v>91.491843546625759</v>
      </c>
    </row>
    <row r="9" spans="2:8" x14ac:dyDescent="0.2">
      <c r="B9" s="30" t="s">
        <v>107</v>
      </c>
      <c r="C9" s="134">
        <v>2</v>
      </c>
      <c r="D9" s="119">
        <v>85</v>
      </c>
      <c r="E9" s="119">
        <v>60</v>
      </c>
      <c r="F9" s="119">
        <v>70</v>
      </c>
      <c r="G9" s="119">
        <v>70</v>
      </c>
      <c r="H9" s="37">
        <v>70</v>
      </c>
    </row>
    <row r="10" spans="2:8" x14ac:dyDescent="0.2">
      <c r="B10" s="30" t="s">
        <v>108</v>
      </c>
      <c r="C10" s="134">
        <v>3</v>
      </c>
      <c r="D10" s="119">
        <v>91</v>
      </c>
      <c r="E10" s="119">
        <v>95</v>
      </c>
      <c r="F10" s="119">
        <v>100</v>
      </c>
      <c r="G10" s="119">
        <v>100</v>
      </c>
      <c r="H10" s="37">
        <v>100</v>
      </c>
    </row>
    <row r="11" spans="2:8" x14ac:dyDescent="0.2">
      <c r="B11" s="30" t="s">
        <v>109</v>
      </c>
      <c r="C11" s="134">
        <v>4</v>
      </c>
      <c r="D11" s="142">
        <v>100</v>
      </c>
      <c r="E11" s="119">
        <v>100</v>
      </c>
      <c r="F11" s="119">
        <v>100</v>
      </c>
      <c r="G11" s="119">
        <v>100</v>
      </c>
      <c r="H11" s="47">
        <v>100</v>
      </c>
    </row>
    <row r="12" spans="2:8" x14ac:dyDescent="0.2">
      <c r="B12" s="30"/>
      <c r="C12" s="134"/>
      <c r="D12" s="12"/>
      <c r="E12" s="46"/>
      <c r="F12" s="46"/>
      <c r="G12" s="46"/>
      <c r="H12" s="74"/>
    </row>
    <row r="13" spans="2:8" x14ac:dyDescent="0.2">
      <c r="B13" s="136" t="s">
        <v>216</v>
      </c>
      <c r="C13" s="137"/>
      <c r="D13" s="59">
        <f>CHOOSE(DCF!$E$1,'Assumption 2'!D14,'Assumption 2'!D15,'Assumption 2'!D16,'Assumption 2'!D17)</f>
        <v>140</v>
      </c>
      <c r="E13" s="59">
        <f>CHOOSE(DCF!$E$1,'Assumption 2'!E14,'Assumption 2'!E15,'Assumption 2'!E16,'Assumption 2'!E17)</f>
        <v>125</v>
      </c>
      <c r="F13" s="59">
        <f>CHOOSE(DCF!$E$1,'Assumption 2'!F14,'Assumption 2'!F15,'Assumption 2'!F16,'Assumption 2'!F17)</f>
        <v>130</v>
      </c>
      <c r="G13" s="59">
        <f>CHOOSE(DCF!$E$1,'Assumption 2'!G14,'Assumption 2'!G15,'Assumption 2'!G16,'Assumption 2'!G17)</f>
        <v>130</v>
      </c>
      <c r="H13" s="140">
        <f>CHOOSE(DCF!$E$1,'Assumption 2'!H14,'Assumption 2'!H15,'Assumption 2'!H16,'Assumption 2'!H17)</f>
        <v>130</v>
      </c>
    </row>
    <row r="14" spans="2:8" x14ac:dyDescent="0.2">
      <c r="B14" s="30" t="s">
        <v>106</v>
      </c>
      <c r="C14" s="134">
        <v>1</v>
      </c>
      <c r="D14" s="60">
        <f>'Net Working Capital'!D37</f>
        <v>154.88529004834422</v>
      </c>
      <c r="E14" s="60">
        <f>'Net Working Capital'!D37</f>
        <v>154.88529004834422</v>
      </c>
      <c r="F14" s="60">
        <f>'Net Working Capital'!D37</f>
        <v>154.88529004834422</v>
      </c>
      <c r="G14" s="60">
        <f>'Net Working Capital'!D37</f>
        <v>154.88529004834422</v>
      </c>
      <c r="H14" s="57">
        <f>'Net Working Capital'!D37</f>
        <v>154.88529004834422</v>
      </c>
    </row>
    <row r="15" spans="2:8" x14ac:dyDescent="0.2">
      <c r="B15" s="30" t="s">
        <v>107</v>
      </c>
      <c r="C15" s="134">
        <v>2</v>
      </c>
      <c r="D15" s="119">
        <v>140</v>
      </c>
      <c r="E15" s="119">
        <v>125</v>
      </c>
      <c r="F15" s="119">
        <v>130</v>
      </c>
      <c r="G15" s="119">
        <v>130</v>
      </c>
      <c r="H15" s="37">
        <v>130</v>
      </c>
    </row>
    <row r="16" spans="2:8" x14ac:dyDescent="0.2">
      <c r="B16" s="30" t="s">
        <v>108</v>
      </c>
      <c r="C16" s="134">
        <v>3</v>
      </c>
      <c r="D16" s="119">
        <v>155</v>
      </c>
      <c r="E16" s="119">
        <v>160</v>
      </c>
      <c r="F16" s="119">
        <v>165</v>
      </c>
      <c r="G16" s="119">
        <v>165</v>
      </c>
      <c r="H16" s="37">
        <v>165</v>
      </c>
    </row>
    <row r="17" spans="2:8" x14ac:dyDescent="0.2">
      <c r="B17" s="30" t="s">
        <v>109</v>
      </c>
      <c r="C17" s="134">
        <v>4</v>
      </c>
      <c r="D17" s="142">
        <v>165</v>
      </c>
      <c r="E17" s="119">
        <v>165</v>
      </c>
      <c r="F17" s="119">
        <v>165</v>
      </c>
      <c r="G17" s="119">
        <v>165</v>
      </c>
      <c r="H17" s="47">
        <v>165</v>
      </c>
    </row>
    <row r="18" spans="2:8" x14ac:dyDescent="0.2">
      <c r="B18" s="30"/>
      <c r="C18" s="134"/>
      <c r="D18" s="12"/>
      <c r="E18" s="46"/>
      <c r="F18" s="46"/>
      <c r="G18" s="46"/>
      <c r="H18" s="74"/>
    </row>
    <row r="19" spans="2:8" x14ac:dyDescent="0.2">
      <c r="B19" s="136" t="s">
        <v>219</v>
      </c>
      <c r="C19" s="137"/>
      <c r="D19" s="39">
        <f>CHOOSE(DCF!$E$1,'Assumption 2'!D20,'Assumption 2'!D21,'Assumption 2'!D22,'Assumption 2'!D23)</f>
        <v>5.3078680900473683E-3</v>
      </c>
      <c r="E19" s="39">
        <f>CHOOSE(DCF!$E$1,'Assumption 2'!E20,'Assumption 2'!E21,'Assumption 2'!E22,'Assumption 2'!E23)</f>
        <v>5.3078680900473683E-3</v>
      </c>
      <c r="F19" s="39">
        <f>CHOOSE(DCF!$E$1,'Assumption 2'!F20,'Assumption 2'!F21,'Assumption 2'!F22,'Assumption 2'!F23)</f>
        <v>5.3078680900473683E-3</v>
      </c>
      <c r="G19" s="39">
        <f>CHOOSE(DCF!$E$1,'Assumption 2'!G20,'Assumption 2'!G21,'Assumption 2'!G22,'Assumption 2'!G23)</f>
        <v>5.3078680900473683E-3</v>
      </c>
      <c r="H19" s="126">
        <f>CHOOSE(DCF!$E$1,'Assumption 2'!H20,'Assumption 2'!H21,'Assumption 2'!H22,'Assumption 2'!H23)</f>
        <v>5.3078680900473683E-3</v>
      </c>
    </row>
    <row r="20" spans="2:8" x14ac:dyDescent="0.2">
      <c r="B20" s="30" t="s">
        <v>106</v>
      </c>
      <c r="C20" s="134">
        <v>1</v>
      </c>
      <c r="D20" s="54">
        <f>'Net Working Capital'!G40</f>
        <v>5.3078680900473683E-3</v>
      </c>
      <c r="E20" s="54">
        <f>'Net Working Capital'!G40</f>
        <v>5.3078680900473683E-3</v>
      </c>
      <c r="F20" s="54">
        <f>'Net Working Capital'!G40</f>
        <v>5.3078680900473683E-3</v>
      </c>
      <c r="G20" s="54">
        <f>'Net Working Capital'!G40</f>
        <v>5.3078680900473683E-3</v>
      </c>
      <c r="H20" s="55">
        <f>'Net Working Capital'!G40</f>
        <v>5.3078680900473683E-3</v>
      </c>
    </row>
    <row r="21" spans="2:8" x14ac:dyDescent="0.2">
      <c r="B21" s="30" t="s">
        <v>107</v>
      </c>
      <c r="C21" s="134">
        <v>2</v>
      </c>
      <c r="D21" s="120">
        <f>'Net Working Capital'!G40</f>
        <v>5.3078680900473683E-3</v>
      </c>
      <c r="E21" s="120">
        <f>'Net Working Capital'!G40</f>
        <v>5.3078680900473683E-3</v>
      </c>
      <c r="F21" s="120">
        <f>'Net Working Capital'!G40</f>
        <v>5.3078680900473683E-3</v>
      </c>
      <c r="G21" s="141">
        <f>'Net Working Capital'!G40</f>
        <v>5.3078680900473683E-3</v>
      </c>
      <c r="H21" s="67">
        <f>'Net Working Capital'!G40</f>
        <v>5.3078680900473683E-3</v>
      </c>
    </row>
    <row r="22" spans="2:8" x14ac:dyDescent="0.2">
      <c r="B22" s="30" t="s">
        <v>108</v>
      </c>
      <c r="C22" s="134">
        <v>3</v>
      </c>
      <c r="D22" s="120">
        <f>'Net Working Capital'!G40</f>
        <v>5.3078680900473683E-3</v>
      </c>
      <c r="E22" s="120">
        <f>'Net Working Capital'!G40</f>
        <v>5.3078680900473683E-3</v>
      </c>
      <c r="F22" s="120">
        <f>'Net Working Capital'!G40</f>
        <v>5.3078680900473683E-3</v>
      </c>
      <c r="G22" s="120">
        <f>'Net Working Capital'!G40</f>
        <v>5.3078680900473683E-3</v>
      </c>
      <c r="H22" s="67">
        <f>'Net Working Capital'!G40</f>
        <v>5.3078680900473683E-3</v>
      </c>
    </row>
    <row r="23" spans="2:8" x14ac:dyDescent="0.2">
      <c r="B23" s="30" t="s">
        <v>109</v>
      </c>
      <c r="C23" s="134">
        <v>4</v>
      </c>
      <c r="D23" s="68">
        <f>'Net Working Capital'!G40</f>
        <v>5.3078680900473683E-3</v>
      </c>
      <c r="E23" s="68">
        <f>'Net Working Capital'!G40</f>
        <v>5.3078680900473683E-3</v>
      </c>
      <c r="F23" s="68">
        <f>'Net Working Capital'!G40</f>
        <v>5.3078680900473683E-3</v>
      </c>
      <c r="G23" s="68">
        <f>'Net Working Capital'!G40</f>
        <v>5.3078680900473683E-3</v>
      </c>
      <c r="H23" s="69">
        <f>'Net Working Capital'!G40</f>
        <v>5.3078680900473683E-3</v>
      </c>
    </row>
    <row r="24" spans="2:8" x14ac:dyDescent="0.2">
      <c r="B24" s="30"/>
      <c r="C24" s="134"/>
      <c r="H24" s="19"/>
    </row>
    <row r="25" spans="2:8" x14ac:dyDescent="0.2">
      <c r="B25" s="92" t="s">
        <v>92</v>
      </c>
      <c r="C25" s="134"/>
      <c r="H25" s="19"/>
    </row>
    <row r="26" spans="2:8" x14ac:dyDescent="0.2">
      <c r="B26" s="136" t="s">
        <v>217</v>
      </c>
      <c r="C26" s="137"/>
      <c r="D26" s="58">
        <f>CHOOSE(DCF!$E$1,'Assumption 2'!D27,'Assumption 2'!D28,'Assumption 2'!D29,'Assumption 2'!D30)</f>
        <v>80</v>
      </c>
      <c r="E26" s="58">
        <f>CHOOSE(DCF!$E$1,'Assumption 2'!E27,'Assumption 2'!E28,'Assumption 2'!E29,'Assumption 2'!E30)</f>
        <v>85</v>
      </c>
      <c r="F26" s="58">
        <f>CHOOSE(DCF!$E$1,'Assumption 2'!F27,'Assumption 2'!F28,'Assumption 2'!F29,'Assumption 2'!F30)</f>
        <v>80</v>
      </c>
      <c r="G26" s="58">
        <f>CHOOSE(DCF!$E$1,'Assumption 2'!G27,'Assumption 2'!G28,'Assumption 2'!G29,'Assumption 2'!G30)</f>
        <v>80</v>
      </c>
      <c r="H26" s="138">
        <f>CHOOSE(DCF!$E$1,'Assumption 2'!H27,'Assumption 2'!H28,'Assumption 2'!H29,'Assumption 2'!H30)</f>
        <v>80</v>
      </c>
    </row>
    <row r="27" spans="2:8" x14ac:dyDescent="0.2">
      <c r="B27" s="30" t="s">
        <v>106</v>
      </c>
      <c r="C27" s="134">
        <v>1</v>
      </c>
      <c r="D27" s="60">
        <f>'Net Working Capital'!D38</f>
        <v>76.379757689346221</v>
      </c>
      <c r="E27" s="139">
        <f>'Net Working Capital'!D38</f>
        <v>76.379757689346221</v>
      </c>
      <c r="F27" s="139">
        <f>'Net Working Capital'!D38</f>
        <v>76.379757689346221</v>
      </c>
      <c r="G27" s="139">
        <f>'Net Working Capital'!D38</f>
        <v>76.379757689346221</v>
      </c>
      <c r="H27" s="57">
        <f>'Net Working Capital'!D38</f>
        <v>76.379757689346221</v>
      </c>
    </row>
    <row r="28" spans="2:8" x14ac:dyDescent="0.2">
      <c r="B28" s="30" t="s">
        <v>107</v>
      </c>
      <c r="C28" s="134">
        <v>2</v>
      </c>
      <c r="D28" s="119">
        <v>80</v>
      </c>
      <c r="E28" s="119">
        <v>85</v>
      </c>
      <c r="F28" s="119">
        <v>80</v>
      </c>
      <c r="G28" s="119">
        <v>80</v>
      </c>
      <c r="H28" s="37">
        <v>80</v>
      </c>
    </row>
    <row r="29" spans="2:8" x14ac:dyDescent="0.2">
      <c r="B29" s="30" t="s">
        <v>218</v>
      </c>
      <c r="C29" s="134">
        <v>3</v>
      </c>
      <c r="D29" s="119">
        <v>70</v>
      </c>
      <c r="E29" s="119">
        <v>73</v>
      </c>
      <c r="F29" s="119">
        <v>68</v>
      </c>
      <c r="G29" s="119">
        <v>68</v>
      </c>
      <c r="H29" s="37">
        <v>68</v>
      </c>
    </row>
    <row r="30" spans="2:8" x14ac:dyDescent="0.2">
      <c r="B30" s="30" t="s">
        <v>109</v>
      </c>
      <c r="C30" s="134">
        <v>4</v>
      </c>
      <c r="D30" s="142">
        <v>68</v>
      </c>
      <c r="E30" s="119">
        <v>68</v>
      </c>
      <c r="F30" s="119">
        <v>68</v>
      </c>
      <c r="G30" s="119">
        <v>68</v>
      </c>
      <c r="H30" s="47">
        <v>68</v>
      </c>
    </row>
    <row r="31" spans="2:8" x14ac:dyDescent="0.2">
      <c r="B31" s="30"/>
      <c r="C31" s="134"/>
      <c r="D31" s="12"/>
      <c r="E31" s="12"/>
      <c r="F31" s="12"/>
      <c r="G31" s="12"/>
      <c r="H31" s="35"/>
    </row>
    <row r="32" spans="2:8" x14ac:dyDescent="0.2">
      <c r="B32" s="136" t="s">
        <v>221</v>
      </c>
      <c r="C32" s="137"/>
      <c r="D32" s="70">
        <f>CHOOSE(DCF!$E$1,'Assumption 2'!D33,'Assumption 2'!D34,'Assumption 2'!D35,'Assumption 2'!D36)</f>
        <v>4.0369445687645944E-2</v>
      </c>
      <c r="E32" s="70">
        <f>CHOOSE(DCF!$E$1,'Assumption 2'!E33,'Assumption 2'!E34,'Assumption 2'!E35,'Assumption 2'!E36)</f>
        <v>4.0369445687645944E-2</v>
      </c>
      <c r="F32" s="70">
        <f>CHOOSE(DCF!$E$1,'Assumption 2'!F33,'Assumption 2'!F34,'Assumption 2'!F35,'Assumption 2'!F36)</f>
        <v>4.0369445687645944E-2</v>
      </c>
      <c r="G32" s="70">
        <f>CHOOSE(DCF!$E$1,'Assumption 2'!G33,'Assumption 2'!G34,'Assumption 2'!G35,'Assumption 2'!G36)</f>
        <v>4.0369445687645944E-2</v>
      </c>
      <c r="H32" s="128">
        <f>CHOOSE(DCF!$E$1,'Assumption 2'!H33,'Assumption 2'!H34,'Assumption 2'!H35,'Assumption 2'!H36)</f>
        <v>4.0369445687645944E-2</v>
      </c>
    </row>
    <row r="33" spans="2:8" x14ac:dyDescent="0.2">
      <c r="B33" s="30" t="s">
        <v>106</v>
      </c>
      <c r="C33" s="134">
        <v>1</v>
      </c>
      <c r="D33" s="54">
        <f>'Net Working Capital'!G41</f>
        <v>4.0369445687645944E-2</v>
      </c>
      <c r="E33" s="120">
        <f>'Net Working Capital'!G41</f>
        <v>4.0369445687645944E-2</v>
      </c>
      <c r="F33" s="120">
        <f>'Net Working Capital'!G41</f>
        <v>4.0369445687645944E-2</v>
      </c>
      <c r="G33" s="120">
        <f>'Net Working Capital'!G41</f>
        <v>4.0369445687645944E-2</v>
      </c>
      <c r="H33" s="55">
        <f>'Net Working Capital'!G41</f>
        <v>4.0369445687645944E-2</v>
      </c>
    </row>
    <row r="34" spans="2:8" x14ac:dyDescent="0.2">
      <c r="B34" s="30" t="s">
        <v>107</v>
      </c>
      <c r="C34" s="134">
        <v>2</v>
      </c>
      <c r="D34" s="120">
        <f>'Net Working Capital'!G41</f>
        <v>4.0369445687645944E-2</v>
      </c>
      <c r="E34" s="120">
        <f>'Net Working Capital'!G41</f>
        <v>4.0369445687645944E-2</v>
      </c>
      <c r="F34" s="120">
        <f>'Net Working Capital'!G41</f>
        <v>4.0369445687645944E-2</v>
      </c>
      <c r="G34" s="120">
        <f>'Net Working Capital'!G41</f>
        <v>4.0369445687645944E-2</v>
      </c>
      <c r="H34" s="67">
        <f>'Net Working Capital'!G41</f>
        <v>4.0369445687645944E-2</v>
      </c>
    </row>
    <row r="35" spans="2:8" x14ac:dyDescent="0.2">
      <c r="B35" s="30" t="s">
        <v>108</v>
      </c>
      <c r="C35" s="134">
        <v>3</v>
      </c>
      <c r="D35" s="120">
        <f>'Net Working Capital'!G41</f>
        <v>4.0369445687645944E-2</v>
      </c>
      <c r="E35" s="120">
        <f>'Net Working Capital'!G41</f>
        <v>4.0369445687645944E-2</v>
      </c>
      <c r="F35" s="120">
        <f>'Net Working Capital'!G41</f>
        <v>4.0369445687645944E-2</v>
      </c>
      <c r="G35" s="120">
        <f>'Net Working Capital'!G41</f>
        <v>4.0369445687645944E-2</v>
      </c>
      <c r="H35" s="67">
        <f>'Net Working Capital'!G41</f>
        <v>4.0369445687645944E-2</v>
      </c>
    </row>
    <row r="36" spans="2:8" x14ac:dyDescent="0.2">
      <c r="B36" s="30" t="s">
        <v>109</v>
      </c>
      <c r="C36" s="134">
        <v>4</v>
      </c>
      <c r="D36" s="68">
        <f>'Net Working Capital'!G41</f>
        <v>4.0369445687645944E-2</v>
      </c>
      <c r="E36" s="68">
        <f>'Net Working Capital'!G41</f>
        <v>4.0369445687645944E-2</v>
      </c>
      <c r="F36" s="68">
        <f>'Net Working Capital'!G41</f>
        <v>4.0369445687645944E-2</v>
      </c>
      <c r="G36" s="68">
        <f>'Net Working Capital'!G41</f>
        <v>4.0369445687645944E-2</v>
      </c>
      <c r="H36" s="69">
        <f>'Net Working Capital'!G41</f>
        <v>4.0369445687645944E-2</v>
      </c>
    </row>
    <row r="37" spans="2:8" x14ac:dyDescent="0.2">
      <c r="B37" s="30"/>
      <c r="C37" s="134"/>
      <c r="H37" s="19"/>
    </row>
    <row r="38" spans="2:8" x14ac:dyDescent="0.2">
      <c r="B38" s="136" t="s">
        <v>220</v>
      </c>
      <c r="C38" s="137"/>
      <c r="D38" s="70">
        <f>CHOOSE(DCF!$E$1,'Assumption 2'!D39,'Assumption 2'!D40,'Assumption 2'!D41,'Assumption 2'!D42)</f>
        <v>5.9950667031717579E-2</v>
      </c>
      <c r="E38" s="70">
        <f>CHOOSE(DCF!$E$1,'Assumption 2'!E39,'Assumption 2'!E40,'Assumption 2'!E41,'Assumption 2'!E42)</f>
        <v>5.9950667031717579E-2</v>
      </c>
      <c r="F38" s="70">
        <f>CHOOSE(DCF!$E$1,'Assumption 2'!F39,'Assumption 2'!F40,'Assumption 2'!F41,'Assumption 2'!F42)</f>
        <v>5.9950667031717579E-2</v>
      </c>
      <c r="G38" s="70">
        <f>CHOOSE(DCF!$E$1,'Assumption 2'!G39,'Assumption 2'!G40,'Assumption 2'!G41,'Assumption 2'!G42)</f>
        <v>5.9950667031717579E-2</v>
      </c>
      <c r="H38" s="128">
        <f>CHOOSE(DCF!$E$1,'Assumption 2'!H39,'Assumption 2'!H40,'Assumption 2'!H41,'Assumption 2'!H42)</f>
        <v>5.9950667031717579E-2</v>
      </c>
    </row>
    <row r="39" spans="2:8" x14ac:dyDescent="0.2">
      <c r="B39" s="30" t="s">
        <v>106</v>
      </c>
      <c r="C39" s="134">
        <v>1</v>
      </c>
      <c r="D39" s="54">
        <f>'Net Working Capital'!G42</f>
        <v>5.9950667031717579E-2</v>
      </c>
      <c r="E39" s="120">
        <f>'Net Working Capital'!G42</f>
        <v>5.9950667031717579E-2</v>
      </c>
      <c r="F39" s="120">
        <f>'Net Working Capital'!G42</f>
        <v>5.9950667031717579E-2</v>
      </c>
      <c r="G39" s="120">
        <f>'Net Working Capital'!G42</f>
        <v>5.9950667031717579E-2</v>
      </c>
      <c r="H39" s="55">
        <f>'Net Working Capital'!G42</f>
        <v>5.9950667031717579E-2</v>
      </c>
    </row>
    <row r="40" spans="2:8" x14ac:dyDescent="0.2">
      <c r="B40" s="30" t="s">
        <v>107</v>
      </c>
      <c r="C40" s="134">
        <v>2</v>
      </c>
      <c r="D40" s="120">
        <f>'Net Working Capital'!G42</f>
        <v>5.9950667031717579E-2</v>
      </c>
      <c r="E40" s="120">
        <f>'Net Working Capital'!G42</f>
        <v>5.9950667031717579E-2</v>
      </c>
      <c r="F40" s="120">
        <f>'Net Working Capital'!G42</f>
        <v>5.9950667031717579E-2</v>
      </c>
      <c r="G40" s="120">
        <f>'Net Working Capital'!G42</f>
        <v>5.9950667031717579E-2</v>
      </c>
      <c r="H40" s="67">
        <f>'Net Working Capital'!G42</f>
        <v>5.9950667031717579E-2</v>
      </c>
    </row>
    <row r="41" spans="2:8" x14ac:dyDescent="0.2">
      <c r="B41" s="30" t="s">
        <v>108</v>
      </c>
      <c r="C41" s="134">
        <v>3</v>
      </c>
      <c r="D41" s="120">
        <f>'Net Working Capital'!G42</f>
        <v>5.9950667031717579E-2</v>
      </c>
      <c r="E41" s="120">
        <f>'Net Working Capital'!G42</f>
        <v>5.9950667031717579E-2</v>
      </c>
      <c r="F41" s="120">
        <f>'Net Working Capital'!G42</f>
        <v>5.9950667031717579E-2</v>
      </c>
      <c r="G41" s="120">
        <f>'Net Working Capital'!G42</f>
        <v>5.9950667031717579E-2</v>
      </c>
      <c r="H41" s="67">
        <f>'Net Working Capital'!G42</f>
        <v>5.9950667031717579E-2</v>
      </c>
    </row>
    <row r="42" spans="2:8" x14ac:dyDescent="0.2">
      <c r="B42" s="32" t="s">
        <v>109</v>
      </c>
      <c r="C42" s="135">
        <v>4</v>
      </c>
      <c r="D42" s="68">
        <f>'Net Working Capital'!G42</f>
        <v>5.9950667031717579E-2</v>
      </c>
      <c r="E42" s="68">
        <f>'Net Working Capital'!G42</f>
        <v>5.9950667031717579E-2</v>
      </c>
      <c r="F42" s="68">
        <f>'Net Working Capital'!G42</f>
        <v>5.9950667031717579E-2</v>
      </c>
      <c r="G42" s="68">
        <f>'Net Working Capital'!G42</f>
        <v>5.9950667031717579E-2</v>
      </c>
      <c r="H42" s="69">
        <f>'Net Working Capital'!G42</f>
        <v>5.9950667031717579E-2</v>
      </c>
    </row>
  </sheetData>
  <mergeCells count="1">
    <mergeCell ref="B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Financials</vt:lpstr>
      <vt:lpstr>DCF</vt:lpstr>
      <vt:lpstr>Net Working Capital</vt:lpstr>
      <vt:lpstr>WACC</vt:lpstr>
      <vt:lpstr>Assumption 1</vt:lpstr>
      <vt:lpstr>Assumption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2025-09-06T16:14:13Z</dcterms:created>
  <dcterms:modified xsi:type="dcterms:W3CDTF">2025-09-17T20:59:58Z</dcterms:modified>
  <cp:category/>
  <cp:contentStatus/>
</cp:coreProperties>
</file>