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3"/>
  <workbookPr/>
  <mc:AlternateContent xmlns:mc="http://schemas.openxmlformats.org/markup-compatibility/2006">
    <mc:Choice Requires="x15">
      <x15ac:absPath xmlns:x15ac="http://schemas.microsoft.com/office/spreadsheetml/2010/11/ac" url="F:\University major\换热器课设\参考资料\"/>
    </mc:Choice>
  </mc:AlternateContent>
  <xr:revisionPtr revIDLastSave="0" documentId="8_{F7EF165E-A68A-4397-BE6D-1DF527E7AA95}" xr6:coauthVersionLast="36" xr6:coauthVersionMax="36" xr10:uidLastSave="{00000000-0000-0000-0000-000000000000}"/>
  <bookViews>
    <workbookView xWindow="0" yWindow="465" windowWidth="23040" windowHeight="93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6" i="1" l="1"/>
  <c r="C29" i="1" l="1"/>
  <c r="C28" i="1"/>
  <c r="C27" i="1"/>
  <c r="C31" i="1" s="1"/>
  <c r="K25" i="1"/>
  <c r="C25" i="1"/>
  <c r="C24" i="1"/>
  <c r="G18" i="1"/>
  <c r="K16" i="1"/>
  <c r="G16" i="1"/>
  <c r="C10" i="1"/>
  <c r="G6" i="1"/>
  <c r="K3" i="1"/>
  <c r="C34" i="1" l="1"/>
  <c r="C38" i="1" s="1"/>
  <c r="C39" i="1" l="1"/>
  <c r="C40" i="1" s="1"/>
  <c r="G4" i="1"/>
  <c r="G7" i="1" s="1"/>
  <c r="G33" i="1"/>
  <c r="G10" i="1" l="1"/>
  <c r="G9" i="1"/>
  <c r="G8" i="1"/>
  <c r="K12" i="1"/>
  <c r="C41" i="1"/>
  <c r="C42" i="1" s="1"/>
  <c r="K7" i="1"/>
  <c r="K8" i="1" s="1"/>
  <c r="K6" i="1"/>
  <c r="K10" i="1" s="1"/>
  <c r="K5" i="1"/>
  <c r="G13" i="1" l="1"/>
  <c r="G14" i="1" s="1"/>
  <c r="G11" i="1"/>
  <c r="K18" i="1" l="1"/>
  <c r="G15" i="1"/>
  <c r="K17" i="1" l="1"/>
  <c r="G17" i="1"/>
  <c r="G19" i="1" s="1"/>
  <c r="G23" i="1" s="1"/>
  <c r="K13" i="1"/>
  <c r="K19" i="1"/>
  <c r="K21" i="1"/>
  <c r="G28" i="1" l="1"/>
  <c r="G29" i="1" s="1"/>
  <c r="G30" i="1" s="1"/>
  <c r="G34" i="1"/>
  <c r="K23" i="1"/>
</calcChain>
</file>

<file path=xl/sharedStrings.xml><?xml version="1.0" encoding="utf-8"?>
<sst xmlns="http://schemas.openxmlformats.org/spreadsheetml/2006/main" count="115" uniqueCount="100">
  <si>
    <t>计算项目</t>
  </si>
  <si>
    <t>计算结果</t>
  </si>
  <si>
    <t>原始数据</t>
  </si>
  <si>
    <t>冷水进口温度</t>
  </si>
  <si>
    <t>初选结构</t>
  </si>
  <si>
    <t>管子排列方式</t>
  </si>
  <si>
    <t>正三角形</t>
  </si>
  <si>
    <t>管程压降</t>
  </si>
  <si>
    <t>壁温下水的粘度</t>
  </si>
  <si>
    <t>冷水出口温度</t>
  </si>
  <si>
    <t>管间距</t>
  </si>
  <si>
    <t>管程粘度修正系数</t>
  </si>
  <si>
    <t>冷水工作压力</t>
  </si>
  <si>
    <t>管束中间处一排管束</t>
  </si>
  <si>
    <t>管程摩擦系数</t>
  </si>
  <si>
    <t>热水进口温度</t>
  </si>
  <si>
    <t>管排数</t>
  </si>
  <si>
    <t>管子沿程压降</t>
  </si>
  <si>
    <t>热水出口温度</t>
  </si>
  <si>
    <t>管束外沿与壳体间距</t>
  </si>
  <si>
    <t>回弯压降</t>
  </si>
  <si>
    <t>热水流量</t>
  </si>
  <si>
    <t>壳体内径</t>
  </si>
  <si>
    <t>进出口管处质量流速</t>
  </si>
  <si>
    <t>热水工作压力</t>
  </si>
  <si>
    <t>长径比</t>
  </si>
  <si>
    <t>进出口管处压降</t>
  </si>
  <si>
    <t>弓形折流板板弓高</t>
  </si>
  <si>
    <t>管程结垢校正系数</t>
  </si>
  <si>
    <t>定性参数和物性参数计算</t>
  </si>
  <si>
    <t>冷水定性温度</t>
  </si>
  <si>
    <t>折流板间距</t>
  </si>
  <si>
    <t>冷水密度</t>
  </si>
  <si>
    <t>折流板数</t>
  </si>
  <si>
    <t>冷水比热</t>
  </si>
  <si>
    <t>壳程压降</t>
  </si>
  <si>
    <t>当量直径</t>
  </si>
  <si>
    <t>冷水导热系数</t>
  </si>
  <si>
    <t>壳程换热系数</t>
  </si>
  <si>
    <t>壳程流通截面</t>
  </si>
  <si>
    <t>雷诺数</t>
  </si>
  <si>
    <t>冷水动力粘度</t>
  </si>
  <si>
    <t>壳程流速</t>
  </si>
  <si>
    <t>壳程摩擦系数</t>
  </si>
  <si>
    <t>冷水普朗克数</t>
  </si>
  <si>
    <t>壳程质量流速</t>
  </si>
  <si>
    <t>热水定性温度</t>
  </si>
  <si>
    <t>壳程当量直径</t>
  </si>
  <si>
    <t>壳程粘度修正系数</t>
  </si>
  <si>
    <t>热水密度</t>
  </si>
  <si>
    <t>壳程雷诺数</t>
  </si>
  <si>
    <t>管束压降</t>
  </si>
  <si>
    <t>热水比热</t>
  </si>
  <si>
    <t>管间距比值</t>
  </si>
  <si>
    <t>管嘴处质量流速</t>
  </si>
  <si>
    <t>热水导热系数</t>
  </si>
  <si>
    <t>努塞尔数</t>
  </si>
  <si>
    <t>进出口管压降</t>
  </si>
  <si>
    <t>热水粘度</t>
  </si>
  <si>
    <t>热水按管壁温度的普朗克数</t>
  </si>
  <si>
    <t>导流板阻力系数</t>
  </si>
  <si>
    <t>热水普朗克数</t>
  </si>
  <si>
    <t>管壁温度</t>
  </si>
  <si>
    <t>导流板压降</t>
  </si>
  <si>
    <t>管排修正系数</t>
  </si>
  <si>
    <t>壳程结垢修正系数</t>
  </si>
  <si>
    <t>传热量及水流量</t>
  </si>
  <si>
    <t>换热器效率</t>
  </si>
  <si>
    <t>设计传热量</t>
  </si>
  <si>
    <t>冷却水流量</t>
  </si>
  <si>
    <t>传热系数</t>
  </si>
  <si>
    <t>冷水污垢热阻</t>
  </si>
  <si>
    <t>压降校核</t>
  </si>
  <si>
    <t>管程允许压降</t>
  </si>
  <si>
    <t>热水污垢热阻</t>
  </si>
  <si>
    <t>壳程允许压降</t>
  </si>
  <si>
    <t>有效平均温差</t>
  </si>
  <si>
    <t>逆流平均温差</t>
  </si>
  <si>
    <t>管壁热阻</t>
  </si>
  <si>
    <t>忽略</t>
  </si>
  <si>
    <t>满足</t>
  </si>
  <si>
    <t>P</t>
  </si>
  <si>
    <t>总传热热阻</t>
  </si>
  <si>
    <t>R</t>
  </si>
  <si>
    <t>温差校正系数</t>
  </si>
  <si>
    <t>传热系数比值大小</t>
  </si>
  <si>
    <t>传热系数校核</t>
  </si>
  <si>
    <t>管程换热系数</t>
  </si>
  <si>
    <t>试选传热系数</t>
  </si>
  <si>
    <t>管外壁热流密度</t>
  </si>
  <si>
    <t>初选传热面积</t>
  </si>
  <si>
    <t>管外壁温度</t>
  </si>
  <si>
    <t>管子外径  Φ25*2.5</t>
  </si>
  <si>
    <t>管外壁温度校核</t>
  </si>
  <si>
    <t>管子内径</t>
  </si>
  <si>
    <t>管子长度</t>
  </si>
  <si>
    <t>总管子数</t>
  </si>
  <si>
    <t>管程流通截面</t>
  </si>
  <si>
    <t>管程流速</t>
  </si>
  <si>
    <t>管程雷诺数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</si>
</sst>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3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showFormulas="1" tabSelected="1" zoomScale="74" zoomScaleNormal="74" workbookViewId="0">
      <selection activeCell="C14" sqref="C14"/>
    </sheetView>
  </sheetViews>
  <sheetFormatPr defaultColWidth="10.875" defaultRowHeight="13.5" x14ac:dyDescent="0.15"/>
  <cols>
    <col min="1" max="1" width="4.375" customWidth="1"/>
    <col min="2" max="2" width="10.875" customWidth="1"/>
    <col min="3" max="3" width="20" customWidth="1"/>
    <col min="4" max="4" width="4.875" customWidth="1"/>
    <col min="5" max="5" width="5" customWidth="1"/>
    <col min="6" max="6" width="14" customWidth="1"/>
    <col min="7" max="7" width="25" customWidth="1"/>
    <col min="8" max="8" width="4.625" customWidth="1"/>
    <col min="9" max="9" width="7.125" customWidth="1"/>
    <col min="10" max="10" width="10.875" customWidth="1"/>
    <col min="11" max="11" width="24.625" customWidth="1"/>
    <col min="12" max="12" width="10.875" customWidth="1"/>
  </cols>
  <sheetData>
    <row r="1" spans="1:11" ht="24.95" customHeight="1" x14ac:dyDescent="0.15">
      <c r="B1" s="1" t="s">
        <v>0</v>
      </c>
      <c r="C1" s="1" t="s">
        <v>1</v>
      </c>
      <c r="D1" s="1"/>
      <c r="F1" s="1" t="s">
        <v>0</v>
      </c>
      <c r="G1" s="1" t="s">
        <v>1</v>
      </c>
      <c r="J1" s="1" t="s">
        <v>0</v>
      </c>
      <c r="K1" s="1" t="s">
        <v>1</v>
      </c>
    </row>
    <row r="2" spans="1:11" x14ac:dyDescent="0.15">
      <c r="A2" s="10" t="s">
        <v>2</v>
      </c>
      <c r="B2" s="2" t="s">
        <v>3</v>
      </c>
      <c r="C2" s="2">
        <v>22</v>
      </c>
      <c r="E2" s="10" t="s">
        <v>4</v>
      </c>
      <c r="F2" s="3" t="s">
        <v>5</v>
      </c>
      <c r="G2" s="3" t="s">
        <v>6</v>
      </c>
      <c r="I2" s="10" t="s">
        <v>7</v>
      </c>
      <c r="J2" s="2" t="s">
        <v>8</v>
      </c>
      <c r="K2" s="2">
        <v>5.1369999999999996E-4</v>
      </c>
    </row>
    <row r="3" spans="1:11" x14ac:dyDescent="0.15">
      <c r="A3" s="10"/>
      <c r="B3" s="2" t="s">
        <v>9</v>
      </c>
      <c r="C3" s="2">
        <v>42</v>
      </c>
      <c r="E3" s="10"/>
      <c r="F3" s="4" t="s">
        <v>10</v>
      </c>
      <c r="G3" s="4">
        <v>3.2000000000000001E-2</v>
      </c>
      <c r="I3" s="10"/>
      <c r="J3" t="s">
        <v>11</v>
      </c>
      <c r="K3">
        <f>(C14/K2)^0.14</f>
        <v>1.0572204514537786</v>
      </c>
    </row>
    <row r="4" spans="1:11" x14ac:dyDescent="0.15">
      <c r="A4" s="10"/>
      <c r="B4" s="2" t="s">
        <v>12</v>
      </c>
      <c r="C4" s="2">
        <v>0.15</v>
      </c>
      <c r="E4" s="10"/>
      <c r="F4" s="3" t="s">
        <v>13</v>
      </c>
      <c r="G4" s="3">
        <f>ROUND(1.1*C38^0.5,0)</f>
        <v>13</v>
      </c>
      <c r="I4" s="10"/>
      <c r="J4" s="2" t="s">
        <v>14</v>
      </c>
      <c r="K4" s="2">
        <v>3.6999999999999998E-2</v>
      </c>
    </row>
    <row r="5" spans="1:11" x14ac:dyDescent="0.15">
      <c r="A5" s="10"/>
      <c r="B5" s="2" t="s">
        <v>15</v>
      </c>
      <c r="C5" s="2">
        <v>80</v>
      </c>
      <c r="E5" s="10"/>
      <c r="F5" s="4" t="s">
        <v>16</v>
      </c>
      <c r="G5" s="4">
        <v>7</v>
      </c>
      <c r="I5" s="10"/>
      <c r="J5" t="s">
        <v>17</v>
      </c>
      <c r="K5">
        <f>C40*C40*C37*2*K4*C11/(2*C36*K3)</f>
        <v>1302.8018921871621</v>
      </c>
    </row>
    <row r="6" spans="1:11" x14ac:dyDescent="0.15">
      <c r="A6" s="10"/>
      <c r="B6" s="2" t="s">
        <v>18</v>
      </c>
      <c r="C6" s="2">
        <v>45</v>
      </c>
      <c r="E6" s="10"/>
      <c r="F6" s="3" t="s">
        <v>19</v>
      </c>
      <c r="G6" s="3">
        <f>2*C35</f>
        <v>0.05</v>
      </c>
      <c r="I6" s="10"/>
      <c r="J6" t="s">
        <v>20</v>
      </c>
      <c r="K6">
        <f>C40*C40*4*2*C11/2</f>
        <v>661.78921542964508</v>
      </c>
    </row>
    <row r="7" spans="1:11" x14ac:dyDescent="0.15">
      <c r="A7" s="10"/>
      <c r="B7" s="2" t="s">
        <v>21</v>
      </c>
      <c r="C7" s="2">
        <v>18000</v>
      </c>
      <c r="E7" s="10"/>
      <c r="F7" s="3" t="s">
        <v>22</v>
      </c>
      <c r="G7" s="3">
        <f>G3*(G4-1)+4*C35</f>
        <v>0.48399999999999999</v>
      </c>
      <c r="I7" s="10"/>
      <c r="J7" t="s">
        <v>23</v>
      </c>
      <c r="K7">
        <f>C40*C11</f>
        <v>405.74418012254603</v>
      </c>
    </row>
    <row r="8" spans="1:11" x14ac:dyDescent="0.15">
      <c r="A8" s="10"/>
      <c r="B8" s="2" t="s">
        <v>24</v>
      </c>
      <c r="C8" s="2">
        <v>0.2</v>
      </c>
      <c r="E8" s="10"/>
      <c r="F8" s="5" t="s">
        <v>25</v>
      </c>
      <c r="G8" s="5">
        <f>C37/G7</f>
        <v>9.2975206611570247</v>
      </c>
      <c r="I8" s="10"/>
      <c r="J8" t="s">
        <v>26</v>
      </c>
      <c r="K8">
        <f>K7*K7*1.5/(2*C11)</f>
        <v>124.08547789305845</v>
      </c>
    </row>
    <row r="9" spans="1:11" x14ac:dyDescent="0.15">
      <c r="E9" s="10"/>
      <c r="F9" s="3" t="s">
        <v>27</v>
      </c>
      <c r="G9" s="3">
        <f>0.2*G7</f>
        <v>9.6799999999999997E-2</v>
      </c>
      <c r="I9" s="10"/>
      <c r="J9" s="2" t="s">
        <v>28</v>
      </c>
      <c r="K9" s="2">
        <v>1.4</v>
      </c>
    </row>
    <row r="10" spans="1:11" x14ac:dyDescent="0.15">
      <c r="A10" s="11" t="s">
        <v>29</v>
      </c>
      <c r="B10" s="6" t="s">
        <v>30</v>
      </c>
      <c r="C10" s="6">
        <f>(C2+C3)/2</f>
        <v>32</v>
      </c>
      <c r="E10" s="10"/>
      <c r="F10" s="3" t="s">
        <v>31</v>
      </c>
      <c r="G10" s="3">
        <f>G7/3</f>
        <v>0.16133333333333333</v>
      </c>
      <c r="I10" s="10"/>
      <c r="J10" t="s">
        <v>7</v>
      </c>
      <c r="K10">
        <f>(K6+K5)*K9+K8</f>
        <v>2874.5130285565883</v>
      </c>
    </row>
    <row r="11" spans="1:11" x14ac:dyDescent="0.15">
      <c r="A11" s="11"/>
      <c r="B11" s="2" t="s">
        <v>32</v>
      </c>
      <c r="C11" s="2">
        <v>995.05</v>
      </c>
      <c r="E11" s="10"/>
      <c r="F11" s="4" t="s">
        <v>33</v>
      </c>
      <c r="G11" s="4">
        <f>EVEN((C37/G10)-3)</f>
        <v>26</v>
      </c>
    </row>
    <row r="12" spans="1:11" x14ac:dyDescent="0.15">
      <c r="A12" s="11"/>
      <c r="B12" s="2" t="s">
        <v>34</v>
      </c>
      <c r="C12" s="2">
        <v>4.1794000000000002</v>
      </c>
      <c r="I12" s="10" t="s">
        <v>35</v>
      </c>
      <c r="J12" t="s">
        <v>36</v>
      </c>
      <c r="K12">
        <f>(G7*G7-C38*C35*C35)/(G7+C38*C35)</f>
        <v>4.0104651162790689E-2</v>
      </c>
    </row>
    <row r="13" spans="1:11" x14ac:dyDescent="0.15">
      <c r="A13" s="11"/>
      <c r="B13" s="2" t="s">
        <v>37</v>
      </c>
      <c r="C13" s="2">
        <v>0.61870000000000003</v>
      </c>
      <c r="E13" s="11" t="s">
        <v>38</v>
      </c>
      <c r="F13" t="s">
        <v>39</v>
      </c>
      <c r="G13">
        <f>G10*G7*(1-C35/G3)</f>
        <v>1.7081166666666665E-2</v>
      </c>
      <c r="I13" s="10"/>
      <c r="J13" t="s">
        <v>40</v>
      </c>
      <c r="K13">
        <f>G15*K12/C20</f>
        <v>26128.27862412178</v>
      </c>
    </row>
    <row r="14" spans="1:11" x14ac:dyDescent="0.15">
      <c r="A14" s="11"/>
      <c r="B14" s="2" t="s">
        <v>41</v>
      </c>
      <c r="C14" s="2">
        <v>7.6440000000000004E-4</v>
      </c>
      <c r="E14" s="10"/>
      <c r="F14" t="s">
        <v>42</v>
      </c>
      <c r="G14">
        <f>C7/(3600*C17*G13)</f>
        <v>0.29810380705472439</v>
      </c>
      <c r="I14" s="10"/>
      <c r="J14" s="2" t="s">
        <v>43</v>
      </c>
      <c r="K14" s="2">
        <v>0.32</v>
      </c>
    </row>
    <row r="15" spans="1:11" x14ac:dyDescent="0.15">
      <c r="A15" s="11"/>
      <c r="B15" s="2" t="s">
        <v>44</v>
      </c>
      <c r="C15" s="2">
        <v>5.1632999999999996</v>
      </c>
      <c r="E15" s="10"/>
      <c r="F15" t="s">
        <v>45</v>
      </c>
      <c r="G15">
        <f>C17*G14</f>
        <v>292.72005229931608</v>
      </c>
      <c r="I15" s="10"/>
      <c r="J15" s="2" t="s">
        <v>8</v>
      </c>
      <c r="K15" s="2">
        <v>5.1369999999999996E-4</v>
      </c>
    </row>
    <row r="16" spans="1:11" x14ac:dyDescent="0.15">
      <c r="A16" s="11"/>
      <c r="B16" s="6" t="s">
        <v>46</v>
      </c>
      <c r="C16" s="6">
        <f>(C5+C6)/2</f>
        <v>62.5</v>
      </c>
      <c r="E16" s="10"/>
      <c r="F16" t="s">
        <v>47</v>
      </c>
      <c r="G16">
        <f>C35</f>
        <v>2.5000000000000001E-2</v>
      </c>
      <c r="I16" s="10"/>
      <c r="J16" t="s">
        <v>48</v>
      </c>
      <c r="K16">
        <f>(C20/K15)^0.14</f>
        <v>0.98142193289686808</v>
      </c>
    </row>
    <row r="17" spans="1:11" x14ac:dyDescent="0.15">
      <c r="A17" s="11"/>
      <c r="B17" s="2" t="s">
        <v>49</v>
      </c>
      <c r="C17" s="2">
        <v>981.94</v>
      </c>
      <c r="E17" s="10"/>
      <c r="F17" t="s">
        <v>50</v>
      </c>
      <c r="G17">
        <f>G15*G16/C20</f>
        <v>16287.561334259741</v>
      </c>
      <c r="I17" s="10"/>
      <c r="J17" t="s">
        <v>51</v>
      </c>
      <c r="K17">
        <f>(G15*G15*(G7*(G11+1))*K14)/(2*C17*K12*K16)</f>
        <v>4635.5215287104329</v>
      </c>
    </row>
    <row r="18" spans="1:11" x14ac:dyDescent="0.15">
      <c r="A18" s="11"/>
      <c r="B18" s="2" t="s">
        <v>52</v>
      </c>
      <c r="C18" s="2">
        <v>4.1837</v>
      </c>
      <c r="E18" s="10"/>
      <c r="F18" t="s">
        <v>53</v>
      </c>
      <c r="G18">
        <f>2/3^0.5</f>
        <v>1.1547005383792517</v>
      </c>
      <c r="I18" s="10"/>
      <c r="J18" t="s">
        <v>54</v>
      </c>
      <c r="K18">
        <f>C17*G14</f>
        <v>292.72005229931608</v>
      </c>
    </row>
    <row r="19" spans="1:11" x14ac:dyDescent="0.15">
      <c r="A19" s="11"/>
      <c r="B19" s="2" t="s">
        <v>55</v>
      </c>
      <c r="C19" s="2">
        <v>0.65680000000000005</v>
      </c>
      <c r="E19" s="10"/>
      <c r="F19" t="s">
        <v>56</v>
      </c>
      <c r="G19">
        <f>0.35*G18^0.2*G17^0.6*C21^0.36*(C21/G20)^0.25</f>
        <v>170.66115724623728</v>
      </c>
      <c r="I19" s="10"/>
      <c r="J19" t="s">
        <v>57</v>
      </c>
      <c r="K19">
        <f>K18*K18*1.5/(2*C17)</f>
        <v>65.445721493763116</v>
      </c>
    </row>
    <row r="20" spans="1:11" x14ac:dyDescent="0.15">
      <c r="A20" s="11"/>
      <c r="B20" s="2" t="s">
        <v>58</v>
      </c>
      <c r="C20" s="2">
        <v>4.4930000000000002E-4</v>
      </c>
      <c r="E20" s="10"/>
      <c r="F20" s="2" t="s">
        <v>59</v>
      </c>
      <c r="G20" s="2">
        <v>3.3138000000000001</v>
      </c>
      <c r="I20" s="10"/>
      <c r="J20" s="2" t="s">
        <v>60</v>
      </c>
      <c r="K20" s="2">
        <v>7</v>
      </c>
    </row>
    <row r="21" spans="1:11" x14ac:dyDescent="0.15">
      <c r="A21" s="11"/>
      <c r="B21" s="2" t="s">
        <v>61</v>
      </c>
      <c r="C21" s="2">
        <v>2.8616999999999999</v>
      </c>
      <c r="E21" s="10"/>
      <c r="F21" s="2" t="s">
        <v>62</v>
      </c>
      <c r="G21" s="2">
        <v>53.8</v>
      </c>
      <c r="I21" s="10"/>
      <c r="J21" t="s">
        <v>63</v>
      </c>
      <c r="K21">
        <f>K18*K18*K20/(2*C17)</f>
        <v>305.41336697089451</v>
      </c>
    </row>
    <row r="22" spans="1:11" x14ac:dyDescent="0.15">
      <c r="E22" s="10"/>
      <c r="F22" s="2" t="s">
        <v>64</v>
      </c>
      <c r="G22" s="2">
        <v>0.95399999999999996</v>
      </c>
      <c r="I22" s="10"/>
      <c r="J22" t="s">
        <v>65</v>
      </c>
      <c r="K22">
        <v>1.82</v>
      </c>
    </row>
    <row r="23" spans="1:11" x14ac:dyDescent="0.15">
      <c r="A23" s="11" t="s">
        <v>66</v>
      </c>
      <c r="B23" s="2" t="s">
        <v>67</v>
      </c>
      <c r="C23" s="2">
        <v>0.96</v>
      </c>
      <c r="E23" s="10"/>
      <c r="F23" t="s">
        <v>38</v>
      </c>
      <c r="G23">
        <f>G22*G19*C19/C35</f>
        <v>4277.3638667071809</v>
      </c>
      <c r="I23" s="10"/>
      <c r="J23" t="s">
        <v>35</v>
      </c>
      <c r="K23">
        <f>K17*K22+K21+K19</f>
        <v>8807.5082707176462</v>
      </c>
    </row>
    <row r="24" spans="1:11" x14ac:dyDescent="0.15">
      <c r="A24" s="11"/>
      <c r="B24" t="s">
        <v>68</v>
      </c>
      <c r="C24">
        <f>C7*C18*(C5-C6)*C23*1000/3600</f>
        <v>702861.6</v>
      </c>
    </row>
    <row r="25" spans="1:11" x14ac:dyDescent="0.15">
      <c r="A25" s="11"/>
      <c r="B25" t="s">
        <v>69</v>
      </c>
      <c r="C25">
        <f>3600*C24/(1000*C12*(C3-C2))</f>
        <v>30271.112599894717</v>
      </c>
      <c r="E25" s="10" t="s">
        <v>70</v>
      </c>
      <c r="F25" t="s">
        <v>71</v>
      </c>
      <c r="G25">
        <v>1.7200000000000001E-4</v>
      </c>
      <c r="I25" s="10" t="s">
        <v>72</v>
      </c>
      <c r="J25" s="2" t="s">
        <v>73</v>
      </c>
      <c r="K25" s="2">
        <f>150000/2</f>
        <v>75000</v>
      </c>
    </row>
    <row r="26" spans="1:11" x14ac:dyDescent="0.15">
      <c r="E26" s="10"/>
      <c r="F26" t="s">
        <v>74</v>
      </c>
      <c r="G26">
        <v>3.4400000000000001E-4</v>
      </c>
      <c r="I26" s="10"/>
      <c r="J26" s="2" t="s">
        <v>75</v>
      </c>
      <c r="K26" s="2">
        <v>35000</v>
      </c>
    </row>
    <row r="27" spans="1:11" x14ac:dyDescent="0.15">
      <c r="A27" s="11" t="s">
        <v>76</v>
      </c>
      <c r="B27" t="s">
        <v>77</v>
      </c>
      <c r="C27">
        <f>(C5-C6-C3+C2)/LN((C5-C6)/(C3-C2))</f>
        <v>26.804104393371649</v>
      </c>
      <c r="E27" s="10"/>
      <c r="F27" t="s">
        <v>78</v>
      </c>
      <c r="G27" t="s">
        <v>79</v>
      </c>
      <c r="I27" s="10"/>
      <c r="J27" s="9" t="s">
        <v>72</v>
      </c>
      <c r="K27" s="9" t="s">
        <v>80</v>
      </c>
    </row>
    <row r="28" spans="1:11" x14ac:dyDescent="0.15">
      <c r="A28" s="11"/>
      <c r="B28" t="s">
        <v>81</v>
      </c>
      <c r="C28">
        <f>(C3-C2)/(C5-C2)</f>
        <v>0.34482758620689657</v>
      </c>
      <c r="E28" s="10"/>
      <c r="F28" t="s">
        <v>82</v>
      </c>
      <c r="G28">
        <f>1/G23+G26+G25*C35/C36+1/C42*C35/C36</f>
        <v>1.3408030646613657E-3</v>
      </c>
    </row>
    <row r="29" spans="1:11" x14ac:dyDescent="0.15">
      <c r="A29" s="11"/>
      <c r="B29" t="s">
        <v>83</v>
      </c>
      <c r="C29">
        <f>(C5-C6)/(C3-C2)</f>
        <v>1.75</v>
      </c>
      <c r="E29" s="10"/>
      <c r="F29" t="s">
        <v>70</v>
      </c>
      <c r="G29">
        <f>1/G28</f>
        <v>745.82168429974524</v>
      </c>
    </row>
    <row r="30" spans="1:11" x14ac:dyDescent="0.15">
      <c r="A30" s="11"/>
      <c r="B30" s="2" t="s">
        <v>84</v>
      </c>
      <c r="C30" s="2">
        <v>0.87</v>
      </c>
      <c r="E30" s="10"/>
      <c r="F30" t="s">
        <v>85</v>
      </c>
      <c r="G30">
        <f>G29/C33</f>
        <v>1.1474179758457619</v>
      </c>
    </row>
    <row r="31" spans="1:11" x14ac:dyDescent="0.15">
      <c r="A31" s="11"/>
      <c r="B31" t="s">
        <v>76</v>
      </c>
      <c r="C31">
        <f>C30*C27</f>
        <v>23.319570822233334</v>
      </c>
      <c r="F31" s="7" t="s">
        <v>86</v>
      </c>
      <c r="G31" s="7" t="s">
        <v>80</v>
      </c>
    </row>
    <row r="33" spans="1:7" x14ac:dyDescent="0.15">
      <c r="A33" s="11" t="s">
        <v>87</v>
      </c>
      <c r="B33" s="2" t="s">
        <v>88</v>
      </c>
      <c r="C33" s="2">
        <v>650</v>
      </c>
      <c r="E33" s="10" t="s">
        <v>62</v>
      </c>
      <c r="F33" t="s">
        <v>89</v>
      </c>
      <c r="G33">
        <f>C24/(3.14*C38*C35*C37)</f>
        <v>15073.486456925946</v>
      </c>
    </row>
    <row r="34" spans="1:7" x14ac:dyDescent="0.15">
      <c r="A34" s="11"/>
      <c r="B34" t="s">
        <v>90</v>
      </c>
      <c r="C34">
        <f>C24/(C33*C31)</f>
        <v>46.369873043743219</v>
      </c>
      <c r="D34" s="6"/>
      <c r="E34" s="10"/>
      <c r="F34" t="s">
        <v>91</v>
      </c>
      <c r="G34">
        <f>C16-G33*(1/G23+G26)</f>
        <v>53.790707522069795</v>
      </c>
    </row>
    <row r="35" spans="1:7" x14ac:dyDescent="0.15">
      <c r="A35" s="11"/>
      <c r="B35" s="4" t="s">
        <v>92</v>
      </c>
      <c r="C35" s="4">
        <v>2.5000000000000001E-2</v>
      </c>
      <c r="D35" s="8"/>
      <c r="E35" s="10"/>
      <c r="F35" s="7" t="s">
        <v>93</v>
      </c>
      <c r="G35" s="7" t="s">
        <v>80</v>
      </c>
    </row>
    <row r="36" spans="1:7" x14ac:dyDescent="0.15">
      <c r="A36" s="11"/>
      <c r="B36" s="4" t="s">
        <v>94</v>
      </c>
      <c r="C36" s="4">
        <v>0.02</v>
      </c>
    </row>
    <row r="37" spans="1:7" x14ac:dyDescent="0.15">
      <c r="A37" s="11"/>
      <c r="B37" s="4" t="s">
        <v>95</v>
      </c>
      <c r="C37" s="4">
        <v>4.5</v>
      </c>
    </row>
    <row r="38" spans="1:7" x14ac:dyDescent="0.15">
      <c r="A38" s="11"/>
      <c r="B38" s="3" t="s">
        <v>96</v>
      </c>
      <c r="C38" s="3">
        <f>EVEN(C34/(3.14*C35*C37))</f>
        <v>132</v>
      </c>
    </row>
    <row r="39" spans="1:7" x14ac:dyDescent="0.15">
      <c r="A39" s="11"/>
      <c r="B39" t="s">
        <v>97</v>
      </c>
      <c r="C39">
        <f>C38/2*3.14/4*C36*C36</f>
        <v>2.0723999999999999E-2</v>
      </c>
    </row>
    <row r="40" spans="1:7" x14ac:dyDescent="0.15">
      <c r="A40" s="11"/>
      <c r="B40" t="s">
        <v>98</v>
      </c>
      <c r="C40">
        <f>C25/(C11*C39*3600)</f>
        <v>0.4077626050173821</v>
      </c>
    </row>
    <row r="41" spans="1:7" x14ac:dyDescent="0.15">
      <c r="A41" s="11"/>
      <c r="B41" t="s">
        <v>99</v>
      </c>
      <c r="C41">
        <f>C11*C40*C36/C14</f>
        <v>10616.017271652172</v>
      </c>
    </row>
    <row r="42" spans="1:7" x14ac:dyDescent="0.15">
      <c r="A42" s="11"/>
      <c r="B42" t="s">
        <v>87</v>
      </c>
      <c r="C42">
        <f>0.023*C13/C36*C41^0.8*C15^0.4</f>
        <v>2280.9627515632346</v>
      </c>
    </row>
  </sheetData>
  <mergeCells count="12">
    <mergeCell ref="A2:A8"/>
    <mergeCell ref="A10:A21"/>
    <mergeCell ref="A23:A25"/>
    <mergeCell ref="A27:A31"/>
    <mergeCell ref="A33:A42"/>
    <mergeCell ref="E2:E11"/>
    <mergeCell ref="E13:E23"/>
    <mergeCell ref="E25:E30"/>
    <mergeCell ref="E33:E35"/>
    <mergeCell ref="I2:I10"/>
    <mergeCell ref="I12:I23"/>
    <mergeCell ref="I25:I27"/>
  </mergeCells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liuyujie</dc:creator>
  <cp:lastModifiedBy>刘铭</cp:lastModifiedBy>
  <dcterms:created xsi:type="dcterms:W3CDTF">2019-01-12T07:14:00Z</dcterms:created>
  <dcterms:modified xsi:type="dcterms:W3CDTF">2020-01-05T05:12:18Z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