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ink/ink1.xml" ContentType="application/inkml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\c\lise_pp_11\"/>
    </mc:Choice>
  </mc:AlternateContent>
  <bookViews>
    <workbookView xWindow="0" yWindow="0" windowWidth="28800" windowHeight="12585"/>
  </bookViews>
  <sheets>
    <sheet name="parameters" sheetId="1" r:id="rId1"/>
    <sheet name="AoQ-based PID" sheetId="4" r:id="rId2"/>
    <sheet name="Z -&gt; data" sheetId="2" r:id="rId3"/>
    <sheet name="data -&gt; Z" sheetId="3" r:id="rId4"/>
  </sheets>
  <externalReferences>
    <externalReference r:id="rId5"/>
  </externalReferences>
  <definedNames>
    <definedName name="_1st_Z__detector_material">'[1]PID resolution calculator'!$G$4</definedName>
    <definedName name="_1st_Z__detector_thickness">'[1]PID resolution calculator'!$G$5</definedName>
    <definedName name="_Rp1">[1]ReactionCalculation!$C$9:$M$9</definedName>
    <definedName name="_Rt1">[1]ReactionCalculation!$C$21:$M$21</definedName>
    <definedName name="A" localSheetId="2">'Z -&gt; data'!$D$6</definedName>
    <definedName name="A__from_A_q___q___measur">'[1]PID resolution calculator'!$B$34</definedName>
    <definedName name="A__from_TKE">'[1]PID resolution calculator'!$B$32</definedName>
    <definedName name="A_2">'[1]PID resolution calculator'!$AD$2</definedName>
    <definedName name="A_2q">'[1]PID resolution calculator'!$B$35</definedName>
    <definedName name="A_2Z">'[1]PID resolution calculator'!$B$37</definedName>
    <definedName name="A_3q">'[1]PID resolution calculator'!$B$36</definedName>
    <definedName name="a_pin_de">parameters!$D$11</definedName>
    <definedName name="a_pin_deC">parameters!$T$10</definedName>
    <definedName name="A_q">'[1]PID resolution calculator'!$B$27</definedName>
    <definedName name="a_sci_de">parameters!$H$11</definedName>
    <definedName name="a_sci_deC">parameters!$X$10</definedName>
    <definedName name="a_tof">parameters!$D$5</definedName>
    <definedName name="a_tof_c1">parameters!$T$5</definedName>
    <definedName name="a_tof_c2">parameters!$X$5</definedName>
    <definedName name="a_tof2">parameters!$H$5</definedName>
    <definedName name="a_z">parameters!$D$19</definedName>
    <definedName name="a_z_C">parameters!$T$14</definedName>
    <definedName name="Ac">[1]ReactionCalculation!$C$26:$M$26</definedName>
    <definedName name="Ac3_">[1]ReactionCalculation!$C$33:$M$33</definedName>
    <definedName name="aE">'AoQ-based PID'!$M$24</definedName>
    <definedName name="aem">parameters!$H$23</definedName>
    <definedName name="Afragment">[1]Base!$E$55</definedName>
    <definedName name="Ap">[1]ReactionCalculation!$C$2:$M$2</definedName>
    <definedName name="Ap3_">[1]ReactionCalculation!$C$7:$M$7</definedName>
    <definedName name="Aparticle">[1]Base!$F$4</definedName>
    <definedName name="Aparticle_g">[1]Global!$C$6</definedName>
    <definedName name="Aq_2">'[1]PID resolution calculator'!$AD$27</definedName>
    <definedName name="At">[1]ReactionCalculation!$C$14:$M$14</definedName>
    <definedName name="At3_">[1]ReactionCalculation!$C$19:$M$19</definedName>
    <definedName name="AtAp3">[1]ReactionCalculation!$C$34:$M$34</definedName>
    <definedName name="Atarget">[1]Base!$F$6</definedName>
    <definedName name="Atarget_g">[1]Global!$C$10</definedName>
    <definedName name="aZ">'AoQ-based PID'!$M$22</definedName>
    <definedName name="b_pin_de">parameters!$D$12</definedName>
    <definedName name="b_pin_deC">parameters!$T$11</definedName>
    <definedName name="b_sci_de">parameters!$H$12</definedName>
    <definedName name="b_sci_deC">parameters!$X$11</definedName>
    <definedName name="b_tof">parameters!$D$6</definedName>
    <definedName name="b_tof_c1">parameters!$T$6</definedName>
    <definedName name="b_tof_c2">parameters!$X$6</definedName>
    <definedName name="b_tof2">parameters!$H$6</definedName>
    <definedName name="b_tof3">'AoQ-based PID'!$M$21</definedName>
    <definedName name="b_z">parameters!$D$20</definedName>
    <definedName name="b_z_C">parameters!$T$15</definedName>
    <definedName name="bE">'AoQ-based PID'!$M$25</definedName>
    <definedName name="BeamZ">'[1]ChargeStates -&gt; MeanValue'!$B$31</definedName>
    <definedName name="beta">'[1]PID resolution calculator'!$B$24</definedName>
    <definedName name="beta_2">'[1]PID resolution calculator'!$AD$24</definedName>
    <definedName name="beta_up">'[1]PID resolution calculator'!$P$19</definedName>
    <definedName name="beta_up2">'[1]PID resolution calculator'!$S$20</definedName>
    <definedName name="beta2">'[1]PID resolution calculator'!$R$20</definedName>
    <definedName name="betaS_up">'[1]PID resolution calculator'!$U$20</definedName>
    <definedName name="Brho" localSheetId="2">'Z -&gt; data'!$D$2</definedName>
    <definedName name="Brho">'[1]PID resolution calculator'!$B$19</definedName>
    <definedName name="brho_up">'[1]PID resolution calculator'!$P$18</definedName>
    <definedName name="Brho1" localSheetId="3">'data -&gt; Z'!$C$2</definedName>
    <definedName name="Brho1" localSheetId="2">'Z -&gt; data'!$D$2</definedName>
    <definedName name="Brho12">parameters!$O$5</definedName>
    <definedName name="Brho12local">'AoQ-based PID'!$E$5</definedName>
    <definedName name="Brho2" localSheetId="3">'data -&gt; Z'!$C$3</definedName>
    <definedName name="Brho2" localSheetId="2">'Z -&gt; data'!$D$3</definedName>
    <definedName name="bunch_distance1">parameters!$D$7</definedName>
    <definedName name="bunch_distance2">parameters!$H$7</definedName>
    <definedName name="bZ">'AoQ-based PID'!$M$23</definedName>
    <definedName name="c_speed">parameters!$H$22</definedName>
    <definedName name="coef_Aq">'[1]PID resolution calculator'!$Y$1</definedName>
    <definedName name="Cp">[1]ReactionCalculation!$C$10:$M$10</definedName>
    <definedName name="Cp1_">[1]ReactionCalculation!$C$11:$M$11</definedName>
    <definedName name="Ct">[1]ReactionCalculation!$C$22:$M$22</definedName>
    <definedName name="Ct1_">[1]ReactionCalculation!$C$23:$M$23</definedName>
    <definedName name="d_AoQ_1">'[1]PID resolution calculator'!$D$27</definedName>
    <definedName name="d_AoQ_2">'[1]PID resolution calculator'!$AF$27</definedName>
    <definedName name="dA_shift">'[1]PID resolution calculator'!$Y$3</definedName>
    <definedName name="dEc">[1]ReactionCalculation!$C$30:$M$30</definedName>
    <definedName name="dEp">[1]ReactionCalculation!$C$6:$M$6</definedName>
    <definedName name="dEt">[1]ReactionCalculation!$C$18:$M$18</definedName>
    <definedName name="Detector_resolution">'[1]PID resolution calculator'!$J$14</definedName>
    <definedName name="Dgr">[1]ReactionCalculation!$C$64:$M$64</definedName>
    <definedName name="dispersion">parameters!$H$29</definedName>
    <definedName name="E1_loss">'[1]PID resolution calculator'!$B$20</definedName>
    <definedName name="Ecm">[1]ReactionCalculation!$C$50:$M$50</definedName>
    <definedName name="Elab">[1]ReactionCalculation!$C$48:$M$48</definedName>
    <definedName name="Elab_A">[1]ReactionCalculation!$C$49:$M$49</definedName>
    <definedName name="Eloss_option">'[1]PID resolution calculator'!$Y$2</definedName>
    <definedName name="energy">[1]Base!$F$7</definedName>
    <definedName name="Energy_2">'[1]PID resolution calculator'!$AD$8</definedName>
    <definedName name="Energy_g">[1]Global!$C$9</definedName>
    <definedName name="Energy_loss_option">[1]Base!$E$58</definedName>
    <definedName name="Energy2">'[1]ChargeStates -&gt; MeanValue'!$B$32</definedName>
    <definedName name="ETA">[1]ReactionCalculation!$C$52:$M$52</definedName>
    <definedName name="Fast_g">[1]Global!$C$14</definedName>
    <definedName name="Flight_Length">'[1]PID resolution calculator'!$G$3</definedName>
    <definedName name="gamma">'[1]PID resolution calculator'!$B$25</definedName>
    <definedName name="gamma_2">'[1]PID resolution calculator'!$AD$25</definedName>
    <definedName name="gamma_up">'[1]PID resolution calculator'!$P$20</definedName>
    <definedName name="gammaS_up">'[1]PID resolution calculator'!$V$20</definedName>
    <definedName name="HF">parameters!$H$15</definedName>
    <definedName name="IonMass">[1]Base!$E$25</definedName>
    <definedName name="k">[1]ReactionCalculation!$C$53:$M$53</definedName>
    <definedName name="Lcr">[1]ReactionCalculation!$C$58:$M$58</definedName>
    <definedName name="length1">parameters!$H$18</definedName>
    <definedName name="length2">parameters!$H$19</definedName>
    <definedName name="Lmax">[1]ReactionCalculation!$C$59:$M$59</definedName>
    <definedName name="M_ion">'[1]PID resolution calculator'!$B$6</definedName>
    <definedName name="M_ion_2">'[1]PID resolution calculator'!$AD$6</definedName>
    <definedName name="M_isotope">'[1]PID resolution calculator'!$B$5</definedName>
    <definedName name="m_TOF">'[1]PID resolution calculator'!$B$18</definedName>
    <definedName name="mass_58Ni">parameters!#REF!</definedName>
    <definedName name="Material_pin">parameters!$D$13</definedName>
    <definedName name="me_TKE">'[1]PID resolution calculator'!$E$21</definedName>
    <definedName name="me_TOF">'[1]PID resolution calculator'!$E$18</definedName>
    <definedName name="mode3">'AoQ-based PID'!$P$2</definedName>
    <definedName name="modeDE">parameters!$AV$9</definedName>
    <definedName name="modeRF1">parameters!$AV$7</definedName>
    <definedName name="modeRF2">parameters!$AV$8</definedName>
    <definedName name="modeSci">parameters!$AV$10</definedName>
    <definedName name="modeZ">parameters!$AV$11</definedName>
    <definedName name="Momentum_Resolution">'[1]PID resolution calculator'!$J$15</definedName>
    <definedName name="MoQ1_int">'[1]PID resolution calculator'!$AD$10</definedName>
    <definedName name="Mp">[1]ReactionCalculation!$C$5:$M$5</definedName>
    <definedName name="Mq">'Z -&gt; data'!$D$11</definedName>
    <definedName name="Mt">[1]ReactionCalculation!$C$17:$M$17</definedName>
    <definedName name="new_RF_shift1">parameters!$D$8</definedName>
    <definedName name="new_RF_shift2">parameters!$H$8</definedName>
    <definedName name="offsetX">parameters!$H$26</definedName>
    <definedName name="Opt">[1]Base!$E$56</definedName>
    <definedName name="Option_g">[1]Global!$C$13</definedName>
    <definedName name="PIN_thick_mg">parameters!$D$15</definedName>
    <definedName name="PIN_thick_um">parameters!$D$16</definedName>
    <definedName name="_xlnm.Print_Area" localSheetId="3">'data -&gt; Z'!$B$2:$AD$15</definedName>
    <definedName name="_xlnm.Print_Area" localSheetId="0">parameters!$C$4:$I$31</definedName>
    <definedName name="_xlnm.Print_Area" localSheetId="2">'Z -&gt; data'!$B$1:$K$20</definedName>
    <definedName name="Q">[1]ReactionCalculation!$C$31:$M$31</definedName>
    <definedName name="q_2">'[1]PID resolution calculator'!$AD$4</definedName>
    <definedName name="Q1_" localSheetId="2">'Z -&gt; data'!$D$8</definedName>
    <definedName name="Q2_" localSheetId="2">'Z -&gt; data'!$D$9</definedName>
    <definedName name="Qc">'[1]PID resolution calculator'!$B$31</definedName>
    <definedName name="Qgr">[1]ReactionCalculation!$C$56:$M$56</definedName>
    <definedName name="QP_CM">[1]ReactionCalculation!$C$55:$M$55</definedName>
    <definedName name="radius">parameters!$H$21</definedName>
    <definedName name="Range_option">[1]Base!$E$57</definedName>
    <definedName name="Rbar">[1]ReactionCalculation!$C$39:$M$39</definedName>
    <definedName name="Rc_">[1]ReactionCalculation!$C$40:$M$40</definedName>
    <definedName name="re_Brho">'[1]PID resolution calculator'!$B$15</definedName>
    <definedName name="re_Eloss">'[1]PID resolution calculator'!$B$12</definedName>
    <definedName name="re_TKE">'[1]PID resolution calculator'!$B$13</definedName>
    <definedName name="re_TOF">'[1]PID resolution calculator'!$B$11</definedName>
    <definedName name="relat_PPAC_dE">parameters!#REF!</definedName>
    <definedName name="Rint">[1]ReactionCalculation!$C$36:$M$36</definedName>
    <definedName name="Rp">[1]ReactionCalculation!$C$8:$M$8</definedName>
    <definedName name="Rt">[1]ReactionCalculation!$C$20:$M$20</definedName>
    <definedName name="RtRp">[1]ReactionCalculation!$C$35:$M$35</definedName>
    <definedName name="se_Brho">'[1]PID resolution calculator'!$D$15</definedName>
    <definedName name="se_Eloss">'[1]PID resolution calculator'!$D$12</definedName>
    <definedName name="se_TKE">'[1]PID resolution calculator'!$D$13</definedName>
    <definedName name="se_TOF">'[1]PID resolution calculator'!$D$11</definedName>
    <definedName name="se_Z">'[1]PID resolution calculator'!$D$14</definedName>
    <definedName name="shift">parameters!$D$7</definedName>
    <definedName name="shift_calc">parameters!$H$16</definedName>
    <definedName name="shift2">parameters!$H$7</definedName>
    <definedName name="slope_Brho">parameters!$H$28</definedName>
    <definedName name="slopeX">parameters!$H$25</definedName>
    <definedName name="solver_adj" localSheetId="0" hidden="1">parameters!$T$5,parameters!$T$6,parameters!$T$10,parameters!$T$11,parameters!$T$14,parameters!$T$15</definedName>
    <definedName name="solver_cvg" localSheetId="0" hidden="1">0.00001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9999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parameters!$Y$28</definedName>
    <definedName name="solver_pre" localSheetId="0" hidden="1">0.0001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9999</definedName>
    <definedName name="solver_tol" localSheetId="0" hidden="1">0.001</definedName>
    <definedName name="solver_typ" localSheetId="0" hidden="1">2</definedName>
    <definedName name="solver_val" localSheetId="0" hidden="1">0</definedName>
    <definedName name="solver_ver" localSheetId="0" hidden="1">3</definedName>
    <definedName name="stepE">#REF!</definedName>
    <definedName name="straggling">'[1]PID resolution calculator'!$P$17</definedName>
    <definedName name="target">'[1]ChargeStates -&gt; MeanValue'!$B$1</definedName>
    <definedName name="Thickness">[1]Base!$F$8</definedName>
    <definedName name="Thickness_g">[1]Global!$C$12</definedName>
    <definedName name="TKE" localSheetId="3">'data -&gt; Z'!$AB$12</definedName>
    <definedName name="tke_up">'[1]PID resolution calculator'!$P$21</definedName>
    <definedName name="tof_slope">'AoQ-based PID'!$E$3</definedName>
    <definedName name="total_length">'AoQ-based PID'!$E$4</definedName>
    <definedName name="VC">[1]ReactionCalculation!$C$43:$M$43</definedName>
    <definedName name="VC_Rc">[1]ReactionCalculation!$C$44:$M$44</definedName>
    <definedName name="velocity">'[1]PID resolution calculator'!$B$26</definedName>
    <definedName name="WaveLength">[1]ReactionCalculation!$C$66:$M$66</definedName>
    <definedName name="X_dispersion">'[1]PID resolution calculator'!$J$13</definedName>
    <definedName name="X_image_at_target">'[1]PID resolution calculator'!$J$11</definedName>
    <definedName name="X_magnification___disp.plane">'[1]PID resolution calculator'!$J$12</definedName>
    <definedName name="Z" localSheetId="2">'Z -&gt; data'!$D$7</definedName>
    <definedName name="Z">'[1]PID resolution calculator'!$B$3</definedName>
    <definedName name="Z_2">'[1]PID resolution calculator'!$AD$3</definedName>
    <definedName name="Z_Material_pin">parameters!$D$14</definedName>
    <definedName name="Zc">[1]ReactionCalculation!$C$27:$M$27</definedName>
    <definedName name="Zfragment">[1]Base!$E$54</definedName>
    <definedName name="ZmQ">[1]Base!$F$9</definedName>
    <definedName name="ZmQ_in_g">[1]Global!$C$8</definedName>
    <definedName name="ZmQ_out_g">[1]Global!$C$5</definedName>
    <definedName name="Zp">[1]ReactionCalculation!$C$3:$M$3</definedName>
    <definedName name="Zparticle">[1]Base!$F$3</definedName>
    <definedName name="Zparticle_g">[1]Global!$C$7</definedName>
    <definedName name="Zt">[1]ReactionCalculation!$C$15:$M$15</definedName>
    <definedName name="Ztarget">[1]Base!$F$5</definedName>
    <definedName name="Ztarget_g">[1]Global!$C$11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3" i="1" l="1"/>
  <c r="AH26" i="1" l="1"/>
  <c r="AH25" i="1"/>
  <c r="AH24" i="1"/>
  <c r="AH23" i="1"/>
  <c r="AH22" i="1"/>
  <c r="AH21" i="1"/>
  <c r="AH20" i="1"/>
  <c r="AH19" i="1"/>
  <c r="AI26" i="1"/>
  <c r="AI25" i="1"/>
  <c r="AI24" i="1"/>
  <c r="AI23" i="1"/>
  <c r="AI22" i="1"/>
  <c r="AI21" i="1"/>
  <c r="AI20" i="1"/>
  <c r="AI19" i="1"/>
  <c r="AQ26" i="1"/>
  <c r="AQ25" i="1"/>
  <c r="Y26" i="1"/>
  <c r="Y25" i="1"/>
  <c r="AA32" i="3"/>
  <c r="AC32" i="3" s="1"/>
  <c r="AA31" i="3"/>
  <c r="AC31" i="3" s="1"/>
  <c r="AA30" i="3"/>
  <c r="AC30" i="3" s="1"/>
  <c r="AA29" i="3"/>
  <c r="AC29" i="3" s="1"/>
  <c r="AA28" i="3"/>
  <c r="AC28" i="3" s="1"/>
  <c r="AA27" i="3"/>
  <c r="AC27" i="3" s="1"/>
  <c r="AA26" i="3"/>
  <c r="AC26" i="3" s="1"/>
  <c r="AA25" i="3"/>
  <c r="AC25" i="3" s="1"/>
  <c r="J32" i="3"/>
  <c r="J31" i="3"/>
  <c r="L31" i="3" s="1"/>
  <c r="J30" i="3"/>
  <c r="M30" i="3" s="1"/>
  <c r="J29" i="3"/>
  <c r="M29" i="3" s="1"/>
  <c r="J28" i="3"/>
  <c r="J27" i="3"/>
  <c r="M27" i="3" s="1"/>
  <c r="J26" i="3"/>
  <c r="M26" i="3" s="1"/>
  <c r="J25" i="3"/>
  <c r="M25" i="3" s="1"/>
  <c r="AD3" i="3"/>
  <c r="M3" i="2"/>
  <c r="I10" i="3"/>
  <c r="I9" i="3"/>
  <c r="I8" i="3"/>
  <c r="I7" i="3"/>
  <c r="AE3" i="3"/>
  <c r="AC3" i="3"/>
  <c r="AE2" i="3"/>
  <c r="AD2" i="3"/>
  <c r="AC2" i="3"/>
  <c r="N3" i="2"/>
  <c r="N2" i="2"/>
  <c r="M2" i="2"/>
  <c r="L3" i="2"/>
  <c r="L2" i="2"/>
  <c r="E5" i="4"/>
  <c r="K32" i="3"/>
  <c r="L32" i="3"/>
  <c r="K31" i="3"/>
  <c r="K30" i="3"/>
  <c r="K29" i="3"/>
  <c r="K28" i="3"/>
  <c r="K27" i="3"/>
  <c r="K26" i="3"/>
  <c r="K25" i="3"/>
  <c r="N31" i="3"/>
  <c r="O30" i="3"/>
  <c r="O26" i="3"/>
  <c r="O25" i="3"/>
  <c r="N32" i="3"/>
  <c r="O29" i="3"/>
  <c r="O27" i="3"/>
  <c r="M31" i="3" l="1"/>
  <c r="L25" i="3"/>
  <c r="L26" i="3"/>
  <c r="L30" i="3"/>
  <c r="L29" i="3"/>
  <c r="M32" i="3"/>
  <c r="M28" i="3"/>
  <c r="L28" i="3"/>
  <c r="L27" i="3"/>
  <c r="D13" i="4"/>
  <c r="C13" i="4"/>
  <c r="N30" i="3"/>
  <c r="N25" i="3"/>
  <c r="O32" i="3"/>
  <c r="N26" i="3"/>
  <c r="O31" i="3"/>
  <c r="N29" i="3"/>
  <c r="O28" i="3"/>
  <c r="N28" i="3"/>
  <c r="N27" i="3"/>
  <c r="P31" i="3" l="1"/>
  <c r="Q31" i="3"/>
  <c r="P30" i="3"/>
  <c r="Q30" i="3"/>
  <c r="P26" i="3"/>
  <c r="Q26" i="3"/>
  <c r="Q29" i="3"/>
  <c r="P29" i="3"/>
  <c r="P25" i="3"/>
  <c r="Q25" i="3"/>
  <c r="P32" i="3"/>
  <c r="Q32" i="3"/>
  <c r="Q27" i="3"/>
  <c r="P27" i="3"/>
  <c r="Q28" i="3"/>
  <c r="P28" i="3"/>
  <c r="X5" i="1"/>
  <c r="Q13" i="1"/>
  <c r="C20" i="2"/>
  <c r="E20" i="2" s="1"/>
  <c r="K20" i="2" s="1"/>
  <c r="C17" i="2"/>
  <c r="E17" i="2" s="1"/>
  <c r="K17" i="2" s="1"/>
  <c r="I12" i="3"/>
  <c r="J12" i="3"/>
  <c r="J10" i="3"/>
  <c r="J9" i="3"/>
  <c r="AS25" i="1"/>
  <c r="AM25" i="1"/>
  <c r="AF25" i="1"/>
  <c r="AP26" i="1"/>
  <c r="AP25" i="1"/>
  <c r="AP24" i="1"/>
  <c r="AP23" i="1"/>
  <c r="AP22" i="1"/>
  <c r="AP21" i="1"/>
  <c r="AP20" i="1"/>
  <c r="AP19" i="1"/>
  <c r="AJ26" i="1"/>
  <c r="AJ25" i="1"/>
  <c r="AJ24" i="1"/>
  <c r="AJ23" i="1"/>
  <c r="AJ22" i="1"/>
  <c r="AJ21" i="1"/>
  <c r="AJ20" i="1"/>
  <c r="AJ19" i="1"/>
  <c r="Y26" i="3"/>
  <c r="Y31" i="3"/>
  <c r="Y30" i="3"/>
  <c r="Y29" i="3"/>
  <c r="Y25" i="3"/>
  <c r="S30" i="3"/>
  <c r="S28" i="3"/>
  <c r="R27" i="3"/>
  <c r="R26" i="3"/>
  <c r="S32" i="3"/>
  <c r="R31" i="3"/>
  <c r="S25" i="3"/>
  <c r="S27" i="3"/>
  <c r="S29" i="3"/>
  <c r="R30" i="3"/>
  <c r="S31" i="3"/>
  <c r="S26" i="3"/>
  <c r="R28" i="3"/>
  <c r="R32" i="3"/>
  <c r="R29" i="3"/>
  <c r="R25" i="3"/>
  <c r="T31" i="3" l="1"/>
  <c r="U31" i="3"/>
  <c r="V31" i="3" s="1"/>
  <c r="W31" i="3" s="1"/>
  <c r="X31" i="3" s="1"/>
  <c r="U29" i="3"/>
  <c r="V29" i="3" s="1"/>
  <c r="W29" i="3" s="1"/>
  <c r="X29" i="3" s="1"/>
  <c r="T29" i="3"/>
  <c r="T25" i="3"/>
  <c r="T26" i="3"/>
  <c r="T30" i="3"/>
  <c r="U25" i="3"/>
  <c r="V25" i="3" s="1"/>
  <c r="W25" i="3" s="1"/>
  <c r="X25" i="3" s="1"/>
  <c r="U26" i="3"/>
  <c r="V26" i="3" s="1"/>
  <c r="W26" i="3" s="1"/>
  <c r="X26" i="3" s="1"/>
  <c r="U30" i="3"/>
  <c r="V30" i="3" s="1"/>
  <c r="W30" i="3" s="1"/>
  <c r="X30" i="3" s="1"/>
  <c r="T32" i="3"/>
  <c r="U32" i="3"/>
  <c r="V32" i="3" s="1"/>
  <c r="T27" i="3"/>
  <c r="T28" i="3"/>
  <c r="U28" i="3"/>
  <c r="V28" i="3" s="1"/>
  <c r="U27" i="3"/>
  <c r="V27" i="3" s="1"/>
  <c r="Z25" i="3"/>
  <c r="Z29" i="3"/>
  <c r="Z30" i="3"/>
  <c r="Z31" i="3"/>
  <c r="Z26" i="3"/>
  <c r="Y9" i="3"/>
  <c r="Z9" i="3"/>
  <c r="Y10" i="3"/>
  <c r="Z10" i="3"/>
  <c r="V14" i="4"/>
  <c r="Y32" i="3"/>
  <c r="Y27" i="3"/>
  <c r="Y28" i="3"/>
  <c r="W32" i="3" l="1"/>
  <c r="X32" i="3" s="1"/>
  <c r="Z32" i="3"/>
  <c r="W28" i="3"/>
  <c r="X28" i="3" s="1"/>
  <c r="Z28" i="3"/>
  <c r="W27" i="3"/>
  <c r="X27" i="3" s="1"/>
  <c r="Z27" i="3"/>
  <c r="I25" i="4"/>
  <c r="I24" i="4"/>
  <c r="I23" i="4"/>
  <c r="I22" i="4"/>
  <c r="G25" i="4"/>
  <c r="G24" i="4"/>
  <c r="G23" i="4"/>
  <c r="G22" i="4"/>
  <c r="T16" i="4"/>
  <c r="R11" i="4"/>
  <c r="T11" i="4" s="1"/>
  <c r="Q23" i="4"/>
  <c r="D6" i="1"/>
  <c r="D8" i="2"/>
  <c r="D9" i="2" s="1"/>
  <c r="H16" i="1"/>
  <c r="Q12" i="1" s="1"/>
  <c r="H6" i="1"/>
  <c r="Z25" i="1"/>
  <c r="AB25" i="1"/>
  <c r="AA25" i="1"/>
  <c r="V25" i="1"/>
  <c r="W25" i="1"/>
  <c r="X25" i="1" s="1"/>
  <c r="U25" i="1"/>
  <c r="E7" i="3"/>
  <c r="H7" i="3"/>
  <c r="E11" i="3"/>
  <c r="H11" i="3"/>
  <c r="D11" i="1"/>
  <c r="D12" i="1"/>
  <c r="D19" i="1"/>
  <c r="D20" i="1"/>
  <c r="E12" i="3"/>
  <c r="H11" i="1"/>
  <c r="H12" i="1"/>
  <c r="E8" i="3"/>
  <c r="H8" i="3"/>
  <c r="E9" i="3"/>
  <c r="H9" i="3"/>
  <c r="E10" i="3"/>
  <c r="H10" i="3"/>
  <c r="P13" i="1"/>
  <c r="H15" i="2"/>
  <c r="J15" i="2"/>
  <c r="H16" i="2"/>
  <c r="J16" i="2"/>
  <c r="H17" i="2"/>
  <c r="J17" i="2"/>
  <c r="H18" i="2"/>
  <c r="J18" i="2"/>
  <c r="H19" i="2"/>
  <c r="J19" i="2"/>
  <c r="H20" i="2"/>
  <c r="J20" i="2"/>
  <c r="P12" i="1"/>
  <c r="H19" i="1"/>
  <c r="E4" i="4" s="1"/>
  <c r="AL19" i="1"/>
  <c r="AO19" i="1"/>
  <c r="AL20" i="1"/>
  <c r="AO20" i="1"/>
  <c r="AL21" i="1"/>
  <c r="AO21" i="1"/>
  <c r="AL22" i="1"/>
  <c r="AO22" i="1"/>
  <c r="AL23" i="1"/>
  <c r="AO23" i="1"/>
  <c r="AL24" i="1"/>
  <c r="AO24" i="1"/>
  <c r="AK25" i="1"/>
  <c r="AL25" i="1"/>
  <c r="AN25" i="1"/>
  <c r="AO25" i="1"/>
  <c r="AR25" i="1"/>
  <c r="AL26" i="1"/>
  <c r="AO26" i="1"/>
  <c r="H28" i="1"/>
  <c r="U26" i="1"/>
  <c r="V26" i="1" s="1"/>
  <c r="W26" i="1"/>
  <c r="Z26" i="1"/>
  <c r="U22" i="1"/>
  <c r="D11" i="2"/>
  <c r="D14" i="1"/>
  <c r="U20" i="1"/>
  <c r="U21" i="1"/>
  <c r="U19" i="1"/>
  <c r="C5" i="2"/>
  <c r="U24" i="1"/>
  <c r="D6" i="4" l="1"/>
  <c r="K24" i="3"/>
  <c r="K23" i="3"/>
  <c r="K22" i="3"/>
  <c r="AN26" i="1"/>
  <c r="AA26" i="1"/>
  <c r="AB26" i="1" s="1"/>
  <c r="AF26" i="1"/>
  <c r="AK26" i="1"/>
  <c r="K21" i="3"/>
  <c r="I11" i="3"/>
  <c r="J11" i="3"/>
  <c r="AB28" i="3" s="1"/>
  <c r="AD28" i="3" s="1"/>
  <c r="M11" i="4"/>
  <c r="X26" i="1"/>
  <c r="V24" i="1"/>
  <c r="V22" i="1"/>
  <c r="V21" i="1"/>
  <c r="Z22" i="1"/>
  <c r="W22" i="1"/>
  <c r="V20" i="1"/>
  <c r="Z20" i="1" s="1"/>
  <c r="V19" i="1"/>
  <c r="Z19" i="1" s="1"/>
  <c r="Z21" i="1"/>
  <c r="I4" i="2"/>
  <c r="S11" i="4"/>
  <c r="D16" i="1"/>
  <c r="H4" i="2"/>
  <c r="Z24" i="1"/>
  <c r="AN24" i="1" l="1"/>
  <c r="AK24" i="1"/>
  <c r="Y22" i="1"/>
  <c r="E6" i="4"/>
  <c r="AE23" i="1"/>
  <c r="AD24" i="1"/>
  <c r="AE24" i="1"/>
  <c r="AM24" i="1"/>
  <c r="AM26" i="1"/>
  <c r="AR26" i="1"/>
  <c r="AS26" i="1" s="1"/>
  <c r="AB27" i="3"/>
  <c r="AD27" i="3" s="1"/>
  <c r="AA9" i="3"/>
  <c r="AB9" i="3" s="1"/>
  <c r="AB26" i="3"/>
  <c r="AD26" i="3" s="1"/>
  <c r="AB31" i="3"/>
  <c r="AD31" i="3" s="1"/>
  <c r="AB30" i="3"/>
  <c r="AD30" i="3" s="1"/>
  <c r="AB29" i="3"/>
  <c r="AD29" i="3" s="1"/>
  <c r="AB25" i="3"/>
  <c r="AD25" i="3" s="1"/>
  <c r="AB32" i="3"/>
  <c r="AD32" i="3" s="1"/>
  <c r="AN22" i="1"/>
  <c r="AK22" i="1"/>
  <c r="J4" i="2"/>
  <c r="I8" i="2"/>
  <c r="J8" i="2" s="1"/>
  <c r="AD23" i="1"/>
  <c r="AD22" i="1"/>
  <c r="AB12" i="3"/>
  <c r="AC8" i="3" s="1"/>
  <c r="AA10" i="3"/>
  <c r="AB10" i="3" s="1"/>
  <c r="H8" i="2"/>
  <c r="Q18" i="4"/>
  <c r="O11" i="4"/>
  <c r="P11" i="4" s="1"/>
  <c r="AN21" i="1"/>
  <c r="AN20" i="1"/>
  <c r="AN19" i="1"/>
  <c r="AK21" i="1"/>
  <c r="AK20" i="1"/>
  <c r="AK19" i="1"/>
  <c r="AA22" i="1"/>
  <c r="AB22" i="1" s="1"/>
  <c r="E3" i="4"/>
  <c r="AE21" i="1"/>
  <c r="AE19" i="1"/>
  <c r="D5" i="1"/>
  <c r="AD21" i="1"/>
  <c r="AE20" i="1"/>
  <c r="AD20" i="1"/>
  <c r="AE22" i="1"/>
  <c r="AF22" i="1" s="1"/>
  <c r="AD19" i="1"/>
  <c r="H7" i="1"/>
  <c r="W21" i="1"/>
  <c r="H5" i="2"/>
  <c r="W24" i="1"/>
  <c r="I5" i="2"/>
  <c r="I6" i="2"/>
  <c r="X22" i="1"/>
  <c r="W20" i="1"/>
  <c r="L10" i="2"/>
  <c r="W19" i="1"/>
  <c r="Y24" i="1" l="1"/>
  <c r="AA24" i="1"/>
  <c r="AB24" i="1" s="1"/>
  <c r="AA21" i="1"/>
  <c r="AB21" i="1" s="1"/>
  <c r="AR21" i="1" s="1"/>
  <c r="AS21" i="1" s="1"/>
  <c r="Y21" i="1"/>
  <c r="AF21" i="1" s="1"/>
  <c r="AF24" i="1"/>
  <c r="Y19" i="1"/>
  <c r="Y20" i="1"/>
  <c r="AF20" i="1" s="1"/>
  <c r="AA20" i="1"/>
  <c r="AB20" i="1" s="1"/>
  <c r="AQ20" i="1" s="1"/>
  <c r="AM19" i="1"/>
  <c r="AM20" i="1"/>
  <c r="AM22" i="1"/>
  <c r="AQ22" i="1"/>
  <c r="AM21" i="1"/>
  <c r="J21" i="3"/>
  <c r="L21" i="3" s="1"/>
  <c r="J22" i="3"/>
  <c r="J24" i="3"/>
  <c r="J23" i="3"/>
  <c r="J6" i="2"/>
  <c r="M41" i="3"/>
  <c r="J5" i="2"/>
  <c r="J10" i="2" s="1"/>
  <c r="I7" i="2"/>
  <c r="L41" i="3"/>
  <c r="H7" i="2"/>
  <c r="C19" i="2"/>
  <c r="E19" i="2" s="1"/>
  <c r="K19" i="2" s="1"/>
  <c r="AC9" i="3"/>
  <c r="AC7" i="3"/>
  <c r="AD10" i="3"/>
  <c r="AC10" i="3"/>
  <c r="AD9" i="3"/>
  <c r="J7" i="3"/>
  <c r="AR22" i="1"/>
  <c r="AS22" i="1" s="1"/>
  <c r="M21" i="4"/>
  <c r="N14" i="4" s="1"/>
  <c r="M14" i="4" s="1"/>
  <c r="R23" i="4"/>
  <c r="S23" i="4" s="1"/>
  <c r="M12" i="4" s="1"/>
  <c r="AP27" i="1"/>
  <c r="AP31" i="1" s="1"/>
  <c r="AA19" i="1"/>
  <c r="AB19" i="1" s="1"/>
  <c r="AJ27" i="1"/>
  <c r="AJ31" i="1" s="1"/>
  <c r="D7" i="1"/>
  <c r="J8" i="3" s="1"/>
  <c r="M10" i="3"/>
  <c r="L10" i="3"/>
  <c r="M9" i="3"/>
  <c r="L9" i="3"/>
  <c r="O9" i="3"/>
  <c r="X19" i="1"/>
  <c r="N21" i="3"/>
  <c r="X24" i="1"/>
  <c r="N10" i="3"/>
  <c r="H6" i="2"/>
  <c r="S12" i="4"/>
  <c r="X21" i="1"/>
  <c r="O10" i="3"/>
  <c r="X20" i="1"/>
  <c r="N9" i="3"/>
  <c r="S14" i="4"/>
  <c r="AR20" i="1" l="1"/>
  <c r="AS20" i="1" s="1"/>
  <c r="AQ21" i="1"/>
  <c r="AR24" i="1"/>
  <c r="AS24" i="1" s="1"/>
  <c r="AQ24" i="1"/>
  <c r="AQ19" i="1"/>
  <c r="AR19" i="1" s="1"/>
  <c r="AS19" i="1" s="1"/>
  <c r="M21" i="3"/>
  <c r="L24" i="3"/>
  <c r="M24" i="3"/>
  <c r="M23" i="3"/>
  <c r="L23" i="3"/>
  <c r="M22" i="3"/>
  <c r="L22" i="3"/>
  <c r="J7" i="2"/>
  <c r="C15" i="2" s="1"/>
  <c r="E15" i="2" s="1"/>
  <c r="K15" i="2" s="1"/>
  <c r="J9" i="2"/>
  <c r="O14" i="4"/>
  <c r="P14" i="4" s="1"/>
  <c r="AF19" i="1"/>
  <c r="N11" i="4"/>
  <c r="N12" i="4"/>
  <c r="N13" i="4"/>
  <c r="M13" i="4" s="1"/>
  <c r="R14" i="4"/>
  <c r="T14" i="4" s="1"/>
  <c r="R12" i="4"/>
  <c r="T12" i="4" s="1"/>
  <c r="I11" i="4" s="1"/>
  <c r="O12" i="4"/>
  <c r="P12" i="4" s="1"/>
  <c r="L7" i="3"/>
  <c r="M7" i="3"/>
  <c r="M8" i="3"/>
  <c r="L8" i="3"/>
  <c r="Q10" i="3"/>
  <c r="P10" i="3"/>
  <c r="Q9" i="3"/>
  <c r="P9" i="3"/>
  <c r="C18" i="2"/>
  <c r="E18" i="2" s="1"/>
  <c r="K18" i="2" s="1"/>
  <c r="N22" i="3"/>
  <c r="O22" i="3"/>
  <c r="S13" i="4"/>
  <c r="R10" i="3"/>
  <c r="N23" i="3"/>
  <c r="O7" i="3"/>
  <c r="O8" i="3"/>
  <c r="S9" i="3"/>
  <c r="N8" i="3"/>
  <c r="O24" i="3"/>
  <c r="N24" i="3"/>
  <c r="S10" i="3"/>
  <c r="O23" i="3"/>
  <c r="O21" i="3"/>
  <c r="N7" i="3"/>
  <c r="R9" i="3"/>
  <c r="Q21" i="3" l="1"/>
  <c r="P21" i="3"/>
  <c r="P23" i="3"/>
  <c r="Q22" i="3"/>
  <c r="P24" i="3"/>
  <c r="Q23" i="3"/>
  <c r="P22" i="3"/>
  <c r="Q24" i="3"/>
  <c r="E22" i="4"/>
  <c r="F22" i="4" s="1"/>
  <c r="C16" i="2"/>
  <c r="E16" i="2" s="1"/>
  <c r="K16" i="2" s="1"/>
  <c r="R13" i="4"/>
  <c r="T13" i="4" s="1"/>
  <c r="O13" i="4"/>
  <c r="P13" i="4" s="1"/>
  <c r="H11" i="4"/>
  <c r="H12" i="4" s="1"/>
  <c r="I12" i="4"/>
  <c r="I13" i="4" s="1"/>
  <c r="Q8" i="3"/>
  <c r="P8" i="3"/>
  <c r="P7" i="3"/>
  <c r="O43" i="3"/>
  <c r="Q7" i="3"/>
  <c r="M42" i="3"/>
  <c r="M43" i="3"/>
  <c r="L42" i="3"/>
  <c r="U9" i="3"/>
  <c r="V9" i="3" s="1"/>
  <c r="T9" i="3"/>
  <c r="U10" i="3"/>
  <c r="V10" i="3" s="1"/>
  <c r="T10" i="3"/>
  <c r="R23" i="3"/>
  <c r="R8" i="3"/>
  <c r="J11" i="4"/>
  <c r="J12" i="4"/>
  <c r="R22" i="3"/>
  <c r="K11" i="4"/>
  <c r="R7" i="3"/>
  <c r="R21" i="3"/>
  <c r="R24" i="3"/>
  <c r="S8" i="3"/>
  <c r="S7" i="3"/>
  <c r="S22" i="3"/>
  <c r="S23" i="3"/>
  <c r="S21" i="3"/>
  <c r="S24" i="3"/>
  <c r="U21" i="3" l="1"/>
  <c r="V21" i="3" s="1"/>
  <c r="W21" i="3" s="1"/>
  <c r="X21" i="3" s="1"/>
  <c r="AA21" i="3" s="1"/>
  <c r="AC21" i="3" s="1"/>
  <c r="T21" i="3"/>
  <c r="T23" i="3"/>
  <c r="U24" i="3"/>
  <c r="V24" i="3" s="1"/>
  <c r="T24" i="3"/>
  <c r="T22" i="3"/>
  <c r="U22" i="3"/>
  <c r="V22" i="3" s="1"/>
  <c r="U23" i="3"/>
  <c r="V23" i="3" s="1"/>
  <c r="H13" i="4"/>
  <c r="D22" i="4"/>
  <c r="E23" i="4"/>
  <c r="F23" i="4" s="1"/>
  <c r="S43" i="3"/>
  <c r="U7" i="3"/>
  <c r="T7" i="3"/>
  <c r="U8" i="3"/>
  <c r="V8" i="3" s="1"/>
  <c r="T8" i="3"/>
  <c r="E24" i="4"/>
  <c r="F24" i="4" s="1"/>
  <c r="P42" i="3"/>
  <c r="Q43" i="3"/>
  <c r="Q42" i="3"/>
  <c r="D23" i="4"/>
  <c r="W9" i="3"/>
  <c r="X9" i="3" s="1"/>
  <c r="W10" i="3"/>
  <c r="X10" i="3" s="1"/>
  <c r="Y8" i="3"/>
  <c r="Y24" i="3"/>
  <c r="Y21" i="3"/>
  <c r="Y23" i="3"/>
  <c r="Y22" i="3"/>
  <c r="J13" i="4"/>
  <c r="K12" i="4"/>
  <c r="L11" i="4"/>
  <c r="Z21" i="3" l="1"/>
  <c r="AB21" i="3" s="1"/>
  <c r="AD21" i="3" s="1"/>
  <c r="W23" i="3"/>
  <c r="X23" i="3" s="1"/>
  <c r="AA23" i="3" s="1"/>
  <c r="Z23" i="3"/>
  <c r="W24" i="3"/>
  <c r="X24" i="3" s="1"/>
  <c r="AA24" i="3" s="1"/>
  <c r="Z24" i="3"/>
  <c r="W22" i="3"/>
  <c r="X22" i="3" s="1"/>
  <c r="AA22" i="3" s="1"/>
  <c r="Z22" i="3"/>
  <c r="Z8" i="3"/>
  <c r="AD8" i="3" s="1"/>
  <c r="Q11" i="4"/>
  <c r="W8" i="3"/>
  <c r="X8" i="3" s="1"/>
  <c r="AA8" i="3" s="1"/>
  <c r="D24" i="4"/>
  <c r="U43" i="3"/>
  <c r="T42" i="3"/>
  <c r="V7" i="3"/>
  <c r="U42" i="3"/>
  <c r="Y7" i="3"/>
  <c r="L12" i="4"/>
  <c r="K13" i="4"/>
  <c r="AC24" i="3" l="1"/>
  <c r="AB24" i="3"/>
  <c r="AD24" i="3" s="1"/>
  <c r="AB22" i="3"/>
  <c r="AD22" i="3" s="1"/>
  <c r="AC22" i="3"/>
  <c r="AC23" i="3"/>
  <c r="AB23" i="3"/>
  <c r="AD23" i="3" s="1"/>
  <c r="AB8" i="3"/>
  <c r="Z7" i="3"/>
  <c r="AD7" i="3" s="1"/>
  <c r="Q12" i="4"/>
  <c r="W7" i="3"/>
  <c r="X7" i="3" s="1"/>
  <c r="AA7" i="3" s="1"/>
  <c r="L13" i="4"/>
  <c r="AB7" i="3" l="1"/>
  <c r="M24" i="4"/>
  <c r="M25" i="4" s="1"/>
  <c r="L14" i="4" s="1"/>
  <c r="Q14" i="4" s="1"/>
  <c r="Q13" i="4"/>
  <c r="M22" i="4" s="1"/>
  <c r="M23" i="4" s="1"/>
  <c r="I14" i="4" l="1"/>
  <c r="H14" i="4" l="1"/>
  <c r="D25" i="4" s="1"/>
  <c r="E25" i="4"/>
  <c r="F25" i="4" s="1"/>
  <c r="J14" i="4"/>
  <c r="K14" i="4" l="1"/>
  <c r="U23" i="1"/>
  <c r="V23" i="1" l="1"/>
  <c r="W23" i="1"/>
  <c r="Z23" i="1"/>
  <c r="AN23" i="1" l="1"/>
  <c r="Y23" i="1"/>
  <c r="AF23" i="1" s="1"/>
  <c r="AF27" i="1" s="1"/>
  <c r="AF31" i="1" s="1"/>
  <c r="AA23" i="1"/>
  <c r="AB23" i="1" s="1"/>
  <c r="AK23" i="1"/>
  <c r="X23" i="1"/>
  <c r="AQ23" i="1" l="1"/>
  <c r="AM23" i="1"/>
  <c r="AM27" i="1" s="1"/>
  <c r="AM31" i="1" s="1"/>
  <c r="AR23" i="1"/>
  <c r="AS23" i="1" s="1"/>
  <c r="AS27" i="1" s="1"/>
  <c r="AS31" i="1" s="1"/>
  <c r="Y28" i="1" l="1"/>
</calcChain>
</file>

<file path=xl/comments1.xml><?xml version="1.0" encoding="utf-8"?>
<comments xmlns="http://schemas.openxmlformats.org/spreadsheetml/2006/main">
  <authors>
    <author>Oleg Tarasov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Oleg Tarasov:</t>
        </r>
        <r>
          <rPr>
            <sz val="9"/>
            <color indexed="81"/>
            <rFont val="Tahoma"/>
            <family val="2"/>
          </rPr>
          <t xml:space="preserve">
shift after calibration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Oleg Tarasov:</t>
        </r>
        <r>
          <rPr>
            <sz val="9"/>
            <color indexed="81"/>
            <rFont val="Tahoma"/>
            <family val="2"/>
          </rPr>
          <t xml:space="preserve">
shift after calibration</t>
        </r>
      </text>
    </comment>
  </commentList>
</comments>
</file>

<file path=xl/sharedStrings.xml><?xml version="1.0" encoding="utf-8"?>
<sst xmlns="http://schemas.openxmlformats.org/spreadsheetml/2006/main" count="364" uniqueCount="208">
  <si>
    <t>mm/%</t>
  </si>
  <si>
    <t>dispersion=</t>
  </si>
  <si>
    <t>TOTAL</t>
  </si>
  <si>
    <t>use in calibration ?</t>
  </si>
  <si>
    <t>slope_Brho=</t>
  </si>
  <si>
    <t>protected cells</t>
  </si>
  <si>
    <t>result</t>
  </si>
  <si>
    <t>Z</t>
  </si>
  <si>
    <t>E_SCI</t>
  </si>
  <si>
    <t>dE</t>
  </si>
  <si>
    <t>RF2</t>
  </si>
  <si>
    <t>RF1</t>
  </si>
  <si>
    <t>cells to edit</t>
  </si>
  <si>
    <t>offsetX=</t>
  </si>
  <si>
    <t>information</t>
  </si>
  <si>
    <t>slopeX=</t>
  </si>
  <si>
    <t>aem=</t>
  </si>
  <si>
    <t>m/ns</t>
  </si>
  <si>
    <t>c_speed=</t>
  </si>
  <si>
    <t>m</t>
  </si>
  <si>
    <t>radius=</t>
  </si>
  <si>
    <t>length2=</t>
  </si>
  <si>
    <t>b_z=</t>
  </si>
  <si>
    <t>dZ</t>
  </si>
  <si>
    <t>Z_calc</t>
  </si>
  <si>
    <t>Z-funct</t>
  </si>
  <si>
    <t>dEcsi</t>
  </si>
  <si>
    <t>Esci-clb</t>
  </si>
  <si>
    <t>Esci_LISE</t>
  </si>
  <si>
    <t>dEloss</t>
  </si>
  <si>
    <t>Eloss-clb</t>
  </si>
  <si>
    <t>ElossLISE</t>
  </si>
  <si>
    <t>dTOF2</t>
  </si>
  <si>
    <t>ToF2-clb</t>
  </si>
  <si>
    <t>ToF1-clb</t>
  </si>
  <si>
    <t>+/- bunch</t>
  </si>
  <si>
    <t>dTOF1</t>
  </si>
  <si>
    <t>deV</t>
  </si>
  <si>
    <t>beta2</t>
  </si>
  <si>
    <t>E2</t>
  </si>
  <si>
    <t>ToF-LISE</t>
  </si>
  <si>
    <t>gamma</t>
  </si>
  <si>
    <t>beta</t>
  </si>
  <si>
    <t>E</t>
  </si>
  <si>
    <t>M(q)</t>
  </si>
  <si>
    <t>E_Sci</t>
  </si>
  <si>
    <t>ToF_RF2</t>
  </si>
  <si>
    <t>ToF_RF1</t>
  </si>
  <si>
    <t>q</t>
  </si>
  <si>
    <t>A</t>
  </si>
  <si>
    <t>point</t>
  </si>
  <si>
    <t>length1=</t>
  </si>
  <si>
    <t>a_z=</t>
  </si>
  <si>
    <t>MeV</t>
  </si>
  <si>
    <t>ns</t>
  </si>
  <si>
    <t>chan</t>
  </si>
  <si>
    <t>int: 
-1,0,1,..</t>
  </si>
  <si>
    <t>MeV/u</t>
  </si>
  <si>
    <t>pid.Z</t>
  </si>
  <si>
    <t>b_z_C=</t>
  </si>
  <si>
    <t>MHz</t>
  </si>
  <si>
    <t>um</t>
  </si>
  <si>
    <t>a_z_C=</t>
  </si>
  <si>
    <t>different</t>
  </si>
  <si>
    <t>mg/cm2</t>
  </si>
  <si>
    <t>Z_Material_pin=</t>
  </si>
  <si>
    <t>Si</t>
  </si>
  <si>
    <t>Material_pin=</t>
  </si>
  <si>
    <t>b_sci_deC=</t>
  </si>
  <si>
    <t>b_pin_deC=</t>
  </si>
  <si>
    <t>tof_slope</t>
  </si>
  <si>
    <t>d_ch</t>
  </si>
  <si>
    <t>bunch#2</t>
  </si>
  <si>
    <t>bunch#1</t>
  </si>
  <si>
    <t>signal</t>
  </si>
  <si>
    <t>b_sci_de=</t>
  </si>
  <si>
    <t>b_pin_de=</t>
  </si>
  <si>
    <t>MeV/ch</t>
  </si>
  <si>
    <t>a_sci_deC=</t>
  </si>
  <si>
    <t>a_pin_deC=</t>
  </si>
  <si>
    <t>ns/ch</t>
  </si>
  <si>
    <t>a_sci_de=</t>
  </si>
  <si>
    <t>a_pin_de=</t>
  </si>
  <si>
    <t>fp.sci</t>
  </si>
  <si>
    <t>fp.pin</t>
  </si>
  <si>
    <t>TOF_slopes calibration using bunch positions</t>
  </si>
  <si>
    <t>ch</t>
  </si>
  <si>
    <t>bunch_distance2=</t>
  </si>
  <si>
    <t>bunch_distance1=</t>
  </si>
  <si>
    <t>b_tof_c2=</t>
  </si>
  <si>
    <t>b_tof_c1=</t>
  </si>
  <si>
    <t>b_tof2=</t>
  </si>
  <si>
    <t>b_tof=</t>
  </si>
  <si>
    <t>a_tof_c2=</t>
  </si>
  <si>
    <t>a_tof_c1=</t>
  </si>
  <si>
    <t>Tm</t>
  </si>
  <si>
    <t>Brho12=</t>
  </si>
  <si>
    <t>a_tof2=</t>
  </si>
  <si>
    <t>a_tof=</t>
  </si>
  <si>
    <t>pid.rf2</t>
  </si>
  <si>
    <t>pid.rf1</t>
  </si>
  <si>
    <t>cell to edit</t>
  </si>
  <si>
    <t>sci.DE</t>
  </si>
  <si>
    <t>pin.E</t>
  </si>
  <si>
    <t>RF2-2</t>
  </si>
  <si>
    <t>RF2-1</t>
  </si>
  <si>
    <t>RF1-2</t>
  </si>
  <si>
    <t>RF1-1</t>
  </si>
  <si>
    <t>channel</t>
  </si>
  <si>
    <t>range</t>
  </si>
  <si>
    <t>dim</t>
  </si>
  <si>
    <t>max</t>
  </si>
  <si>
    <t>min</t>
  </si>
  <si>
    <t>phys.value</t>
  </si>
  <si>
    <t>plot</t>
  </si>
  <si>
    <t>acquisition</t>
  </si>
  <si>
    <t>M(Q1)</t>
  </si>
  <si>
    <t>dE_v</t>
  </si>
  <si>
    <t>(for bz=0)</t>
  </si>
  <si>
    <t>az</t>
  </si>
  <si>
    <t>Q2</t>
  </si>
  <si>
    <t>TKE</t>
  </si>
  <si>
    <t>Q1</t>
  </si>
  <si>
    <t>TOF</t>
  </si>
  <si>
    <t>MeV/A</t>
  </si>
  <si>
    <t>Energy</t>
  </si>
  <si>
    <t>final</t>
  </si>
  <si>
    <t>second</t>
  </si>
  <si>
    <t>first</t>
  </si>
  <si>
    <t>Brho2=</t>
  </si>
  <si>
    <t>section</t>
  </si>
  <si>
    <t>Brho1=</t>
  </si>
  <si>
    <t>real values</t>
  </si>
  <si>
    <t>TKE =</t>
  </si>
  <si>
    <t>AoQ * Q</t>
  </si>
  <si>
    <t>Q</t>
  </si>
  <si>
    <t>AoQ * Z</t>
  </si>
  <si>
    <t>AoQ</t>
  </si>
  <si>
    <t>de_v</t>
  </si>
  <si>
    <t>betaF2</t>
  </si>
  <si>
    <t>betaF1</t>
  </si>
  <si>
    <t>g1_2</t>
  </si>
  <si>
    <t>g1_1</t>
  </si>
  <si>
    <t>betaT2</t>
  </si>
  <si>
    <t>betaT1</t>
  </si>
  <si>
    <t>g0_2</t>
  </si>
  <si>
    <t>g0_1</t>
  </si>
  <si>
    <t>beta0_2</t>
  </si>
  <si>
    <t>beta0_1</t>
  </si>
  <si>
    <t>PIN_thick_um=</t>
  </si>
  <si>
    <t>PIN_thick_mg=</t>
  </si>
  <si>
    <t>1st</t>
  </si>
  <si>
    <t>points</t>
  </si>
  <si>
    <t>A/q</t>
  </si>
  <si>
    <t>2nd</t>
  </si>
  <si>
    <t>3rd</t>
  </si>
  <si>
    <t>4th</t>
  </si>
  <si>
    <t>Length</t>
  </si>
  <si>
    <t>from "parameter" sheet</t>
  </si>
  <si>
    <t>dA=</t>
  </si>
  <si>
    <t>A/q=</t>
  </si>
  <si>
    <t>RF1-a</t>
  </si>
  <si>
    <t>RF1-b</t>
  </si>
  <si>
    <t>RF2-a</t>
  </si>
  <si>
    <t>RF2-b</t>
  </si>
  <si>
    <t>bg</t>
  </si>
  <si>
    <t>g</t>
  </si>
  <si>
    <t>L/b1c+dT</t>
  </si>
  <si>
    <t>M</t>
  </si>
  <si>
    <t>dE-LISE</t>
  </si>
  <si>
    <t>E, MeV/u</t>
  </si>
  <si>
    <t>aE=</t>
  </si>
  <si>
    <t>bE=</t>
  </si>
  <si>
    <t>MeV/chan</t>
  </si>
  <si>
    <t>bZ=</t>
  </si>
  <si>
    <t>aZ=</t>
  </si>
  <si>
    <t>b2</t>
  </si>
  <si>
    <t>de</t>
  </si>
  <si>
    <t>tof1=</t>
  </si>
  <si>
    <t>b_tof3=</t>
  </si>
  <si>
    <t>TOF,ns</t>
  </si>
  <si>
    <t>de_v func</t>
  </si>
  <si>
    <t>green background cells for copy to the "parameters" sheet</t>
  </si>
  <si>
    <t>Random (benhmark)</t>
  </si>
  <si>
    <t>Well-known A/q-line</t>
  </si>
  <si>
    <t>Len1+Len2=</t>
  </si>
  <si>
    <t>the same Z as 1st point</t>
  </si>
  <si>
    <t>mode3=</t>
  </si>
  <si>
    <t>delta TOF=</t>
  </si>
  <si>
    <t>rum7827</t>
  </si>
  <si>
    <t>76Ge</t>
  </si>
  <si>
    <t>ToF</t>
  </si>
  <si>
    <t>Mev</t>
  </si>
  <si>
    <t>raw data</t>
  </si>
  <si>
    <t xml:space="preserve">List of  the "dE vs. ToF plot"  isotopes </t>
  </si>
  <si>
    <t>bunch_distance=</t>
  </si>
  <si>
    <t>dE-detector</t>
  </si>
  <si>
    <t>new RF shift1=</t>
  </si>
  <si>
    <t>new RF shift2=</t>
  </si>
  <si>
    <t>Zint</t>
  </si>
  <si>
    <t>Aint</t>
  </si>
  <si>
    <t>GLOBAL  parameters</t>
  </si>
  <si>
    <t>Calibration (unwedged settings) and local parameters</t>
  </si>
  <si>
    <t>RF=</t>
  </si>
  <si>
    <t>RF-ToF1</t>
  </si>
  <si>
    <t>version 2.5</t>
  </si>
  <si>
    <t>password: &lt;empty, blank&gt;</t>
  </si>
  <si>
    <t>notes: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</si>
</sst>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0.00000000"/>
    <numFmt numFmtId="166" formatCode="0.0"/>
    <numFmt numFmtId="167" formatCode="0.0000"/>
    <numFmt numFmtId="168" formatCode="0.000"/>
  </numFmts>
  <fonts count="25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6"/>
      <color theme="7" tint="-0.249977111117893"/>
      <name val="Arial"/>
      <family val="2"/>
    </font>
    <font>
      <b/>
      <sz val="16"/>
      <color rgb="FFFF0000"/>
      <name val="Arial"/>
      <family val="2"/>
    </font>
    <font>
      <b/>
      <sz val="10"/>
      <color indexed="12"/>
      <name val="Arial"/>
      <family val="2"/>
    </font>
    <font>
      <i/>
      <sz val="9"/>
      <name val="Arial"/>
      <family val="2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9"/>
      <color indexed="16"/>
      <name val="Arial"/>
      <family val="2"/>
    </font>
    <font>
      <b/>
      <sz val="10"/>
      <color indexed="16"/>
      <name val="Arial"/>
      <family val="2"/>
    </font>
    <font>
      <sz val="10"/>
      <color indexed="17"/>
      <name val="Arial"/>
      <family val="2"/>
    </font>
    <font>
      <sz val="10"/>
      <color indexed="59"/>
      <name val="Arial"/>
      <family val="2"/>
    </font>
    <font>
      <i/>
      <sz val="8"/>
      <name val="Arial"/>
      <family val="2"/>
    </font>
    <font>
      <b/>
      <sz val="10"/>
      <color indexed="59"/>
      <name val="Arial"/>
      <family val="2"/>
    </font>
    <font>
      <b/>
      <sz val="11"/>
      <color indexed="12"/>
      <name val="Arial"/>
      <family val="2"/>
    </font>
    <font>
      <sz val="9"/>
      <color theme="0" tint="-0.499984740745262"/>
      <name val="Arial"/>
      <family val="2"/>
    </font>
    <font>
      <sz val="8"/>
      <color rgb="FF000000"/>
      <name val="Tahoma"/>
      <family val="2"/>
    </font>
    <font>
      <b/>
      <sz val="12"/>
      <name val="Arial"/>
      <family val="2"/>
    </font>
    <font>
      <b/>
      <sz val="11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12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horizontal="right"/>
    </xf>
    <xf numFmtId="11" fontId="0" fillId="0" borderId="0" xfId="0" applyNumberFormat="1" applyAlignment="1" applyProtection="1">
      <alignment horizontal="center" vertical="center"/>
    </xf>
    <xf numFmtId="0" fontId="0" fillId="2" borderId="1" xfId="0" applyFill="1" applyBorder="1" applyProtection="1"/>
    <xf numFmtId="0" fontId="0" fillId="2" borderId="2" xfId="0" applyFill="1" applyBorder="1" applyProtection="1"/>
    <xf numFmtId="0" fontId="0" fillId="2" borderId="2" xfId="0" applyFill="1" applyBorder="1" applyAlignment="1" applyProtection="1">
      <alignment horizontal="center" vertical="center"/>
    </xf>
    <xf numFmtId="0" fontId="0" fillId="2" borderId="3" xfId="0" applyFill="1" applyBorder="1" applyProtection="1"/>
    <xf numFmtId="0" fontId="0" fillId="2" borderId="2" xfId="0" applyFill="1" applyBorder="1" applyAlignment="1" applyProtection="1">
      <alignment horizontal="right"/>
    </xf>
    <xf numFmtId="0" fontId="0" fillId="2" borderId="4" xfId="0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center" vertical="center"/>
    </xf>
    <xf numFmtId="0" fontId="0" fillId="2" borderId="5" xfId="0" applyFill="1" applyBorder="1" applyProtection="1"/>
    <xf numFmtId="0" fontId="0" fillId="3" borderId="6" xfId="0" applyFill="1" applyBorder="1" applyProtection="1"/>
    <xf numFmtId="164" fontId="0" fillId="4" borderId="7" xfId="0" applyNumberFormat="1" applyFill="1" applyBorder="1" applyAlignment="1" applyProtection="1">
      <alignment horizontal="left"/>
      <protection locked="0"/>
    </xf>
    <xf numFmtId="0" fontId="0" fillId="3" borderId="8" xfId="0" applyFill="1" applyBorder="1" applyAlignment="1" applyProtection="1">
      <alignment horizontal="right"/>
    </xf>
    <xf numFmtId="0" fontId="0" fillId="0" borderId="0" xfId="0" applyBorder="1" applyAlignment="1" applyProtection="1">
      <alignment horizontal="right"/>
    </xf>
    <xf numFmtId="2" fontId="2" fillId="5" borderId="0" xfId="0" applyNumberFormat="1" applyFont="1" applyFill="1" applyBorder="1" applyAlignment="1" applyProtection="1">
      <alignment horizontal="center" vertical="center"/>
    </xf>
    <xf numFmtId="0" fontId="2" fillId="5" borderId="0" xfId="0" applyFont="1" applyFill="1" applyBorder="1" applyAlignment="1" applyProtection="1">
      <alignment horizontal="center" vertical="center"/>
    </xf>
    <xf numFmtId="1" fontId="0" fillId="6" borderId="1" xfId="0" applyNumberFormat="1" applyFill="1" applyBorder="1" applyAlignment="1" applyProtection="1">
      <alignment horizontal="center" vertical="center"/>
      <protection locked="0"/>
    </xf>
    <xf numFmtId="1" fontId="0" fillId="6" borderId="2" xfId="0" applyNumberForma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 applyProtection="1">
      <alignment horizontal="right" vertical="center"/>
    </xf>
    <xf numFmtId="0" fontId="0" fillId="6" borderId="2" xfId="0" applyFill="1" applyBorder="1" applyAlignment="1" applyProtection="1">
      <alignment horizontal="center" vertical="center"/>
    </xf>
    <xf numFmtId="0" fontId="0" fillId="6" borderId="3" xfId="0" applyFill="1" applyBorder="1" applyAlignment="1" applyProtection="1">
      <alignment horizontal="center" vertical="center"/>
    </xf>
    <xf numFmtId="0" fontId="0" fillId="3" borderId="9" xfId="0" applyFill="1" applyBorder="1" applyProtection="1"/>
    <xf numFmtId="165" fontId="0" fillId="3" borderId="0" xfId="0" applyNumberFormat="1" applyFill="1" applyBorder="1" applyAlignment="1" applyProtection="1">
      <alignment horizontal="left"/>
    </xf>
    <xf numFmtId="0" fontId="0" fillId="3" borderId="10" xfId="0" applyFill="1" applyBorder="1" applyAlignment="1" applyProtection="1">
      <alignment horizontal="right"/>
    </xf>
    <xf numFmtId="0" fontId="0" fillId="3" borderId="0" xfId="0" applyFill="1" applyBorder="1" applyAlignment="1" applyProtection="1">
      <alignment horizontal="center"/>
    </xf>
    <xf numFmtId="2" fontId="0" fillId="7" borderId="11" xfId="0" applyNumberFormat="1" applyFill="1" applyBorder="1" applyAlignment="1" applyProtection="1">
      <alignment horizontal="center" vertical="center"/>
    </xf>
    <xf numFmtId="0" fontId="0" fillId="0" borderId="12" xfId="0" applyBorder="1" applyProtection="1"/>
    <xf numFmtId="0" fontId="0" fillId="0" borderId="13" xfId="0" applyBorder="1" applyProtection="1"/>
    <xf numFmtId="0" fontId="0" fillId="0" borderId="12" xfId="0" applyBorder="1" applyAlignment="1" applyProtection="1">
      <alignment horizontal="center" vertical="center"/>
    </xf>
    <xf numFmtId="0" fontId="0" fillId="0" borderId="13" xfId="0" applyBorder="1" applyAlignment="1" applyProtection="1">
      <alignment horizontal="center" vertical="center"/>
    </xf>
    <xf numFmtId="0" fontId="1" fillId="0" borderId="12" xfId="0" applyFont="1" applyBorder="1" applyAlignment="1" applyProtection="1">
      <alignment horizontal="center" vertical="center"/>
    </xf>
    <xf numFmtId="0" fontId="1" fillId="8" borderId="14" xfId="0" applyFont="1" applyFill="1" applyBorder="1" applyAlignment="1" applyProtection="1">
      <alignment horizontal="center" vertical="center"/>
    </xf>
    <xf numFmtId="0" fontId="1" fillId="8" borderId="15" xfId="0" applyFont="1" applyFill="1" applyBorder="1" applyAlignment="1" applyProtection="1">
      <alignment horizontal="center" vertical="center"/>
    </xf>
    <xf numFmtId="0" fontId="0" fillId="8" borderId="15" xfId="0" applyFill="1" applyBorder="1" applyAlignment="1" applyProtection="1">
      <alignment horizontal="center" vertical="center"/>
    </xf>
    <xf numFmtId="0" fontId="0" fillId="8" borderId="16" xfId="0" applyFill="1" applyBorder="1" applyAlignment="1" applyProtection="1">
      <alignment horizontal="center" vertical="center"/>
    </xf>
    <xf numFmtId="0" fontId="0" fillId="3" borderId="0" xfId="0" applyFill="1" applyBorder="1" applyProtection="1"/>
    <xf numFmtId="0" fontId="0" fillId="4" borderId="0" xfId="0" applyFill="1" applyBorder="1" applyAlignment="1" applyProtection="1">
      <alignment horizontal="center"/>
    </xf>
    <xf numFmtId="2" fontId="0" fillId="7" borderId="4" xfId="0" applyNumberFormat="1" applyFill="1" applyBorder="1" applyAlignment="1" applyProtection="1">
      <alignment horizontal="center" vertical="center"/>
    </xf>
    <xf numFmtId="166" fontId="0" fillId="0" borderId="5" xfId="0" applyNumberFormat="1" applyBorder="1" applyAlignment="1" applyProtection="1">
      <alignment horizontal="center" vertical="center"/>
    </xf>
    <xf numFmtId="2" fontId="0" fillId="0" borderId="5" xfId="0" applyNumberFormat="1" applyBorder="1" applyAlignment="1" applyProtection="1">
      <alignment horizontal="center" vertical="center"/>
    </xf>
    <xf numFmtId="166" fontId="0" fillId="0" borderId="0" xfId="0" applyNumberFormat="1" applyBorder="1" applyAlignment="1" applyProtection="1">
      <alignment horizontal="center" vertical="center"/>
    </xf>
    <xf numFmtId="1" fontId="0" fillId="4" borderId="5" xfId="0" applyNumberFormat="1" applyFill="1" applyBorder="1" applyAlignment="1" applyProtection="1">
      <alignment horizontal="center" vertical="center"/>
      <protection locked="0"/>
    </xf>
    <xf numFmtId="166" fontId="0" fillId="0" borderId="1" xfId="0" applyNumberFormat="1" applyBorder="1" applyAlignment="1" applyProtection="1">
      <alignment horizontal="center" vertical="center"/>
    </xf>
    <xf numFmtId="2" fontId="0" fillId="0" borderId="2" xfId="0" applyNumberForma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167" fontId="0" fillId="0" borderId="2" xfId="0" applyNumberFormat="1" applyBorder="1" applyAlignment="1" applyProtection="1">
      <alignment horizontal="center" vertical="center"/>
    </xf>
    <xf numFmtId="168" fontId="0" fillId="0" borderId="2" xfId="0" applyNumberFormat="1" applyBorder="1" applyAlignment="1" applyProtection="1">
      <alignment horizontal="center" vertical="center"/>
    </xf>
    <xf numFmtId="166" fontId="0" fillId="4" borderId="2" xfId="0" applyNumberFormat="1" applyFill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 vertical="center"/>
    </xf>
    <xf numFmtId="0" fontId="0" fillId="4" borderId="0" xfId="0" applyFill="1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166" fontId="0" fillId="0" borderId="4" xfId="0" applyNumberFormat="1" applyBorder="1" applyAlignment="1" applyProtection="1">
      <alignment horizontal="center" vertical="center"/>
    </xf>
    <xf numFmtId="2" fontId="0" fillId="0" borderId="0" xfId="0" applyNumberFormat="1" applyBorder="1" applyAlignment="1" applyProtection="1">
      <alignment horizontal="center" vertical="center"/>
    </xf>
    <xf numFmtId="167" fontId="0" fillId="0" borderId="0" xfId="0" applyNumberFormat="1" applyBorder="1" applyAlignment="1" applyProtection="1">
      <alignment horizontal="center" vertical="center"/>
    </xf>
    <xf numFmtId="168" fontId="0" fillId="0" borderId="0" xfId="0" applyNumberFormat="1" applyBorder="1" applyAlignment="1" applyProtection="1">
      <alignment horizontal="center" vertical="center"/>
    </xf>
    <xf numFmtId="166" fontId="0" fillId="4" borderId="0" xfId="0" applyNumberFormat="1" applyFill="1" applyBorder="1" applyAlignment="1" applyProtection="1">
      <alignment horizontal="center"/>
      <protection locked="0"/>
    </xf>
    <xf numFmtId="1" fontId="0" fillId="4" borderId="0" xfId="0" applyNumberFormat="1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</xf>
    <xf numFmtId="0" fontId="0" fillId="3" borderId="0" xfId="0" applyFill="1" applyBorder="1" applyAlignment="1" applyProtection="1">
      <alignment horizontal="left"/>
    </xf>
    <xf numFmtId="166" fontId="0" fillId="7" borderId="4" xfId="0" applyNumberFormat="1" applyFill="1" applyBorder="1" applyAlignment="1" applyProtection="1">
      <alignment horizontal="center" vertical="center"/>
    </xf>
    <xf numFmtId="164" fontId="0" fillId="0" borderId="0" xfId="0" applyNumberFormat="1" applyBorder="1" applyAlignment="1" applyProtection="1">
      <alignment horizontal="center" vertical="center"/>
    </xf>
    <xf numFmtId="0" fontId="2" fillId="4" borderId="0" xfId="0" applyFont="1" applyFill="1" applyBorder="1" applyAlignment="1" applyProtection="1">
      <alignment horizontal="left"/>
      <protection locked="0"/>
    </xf>
    <xf numFmtId="0" fontId="1" fillId="9" borderId="4" xfId="0" applyFont="1" applyFill="1" applyBorder="1" applyAlignment="1" applyProtection="1">
      <alignment horizontal="center"/>
    </xf>
    <xf numFmtId="0" fontId="1" fillId="9" borderId="0" xfId="0" applyFont="1" applyFill="1" applyBorder="1" applyAlignment="1" applyProtection="1">
      <alignment horizontal="center"/>
    </xf>
    <xf numFmtId="0" fontId="1" fillId="9" borderId="5" xfId="0" applyFont="1" applyFill="1" applyBorder="1" applyAlignment="1" applyProtection="1">
      <alignment horizontal="center" vertical="center"/>
    </xf>
    <xf numFmtId="0" fontId="1" fillId="9" borderId="4" xfId="0" applyFont="1" applyFill="1" applyBorder="1" applyAlignment="1" applyProtection="1">
      <alignment horizontal="center" vertical="center"/>
    </xf>
    <xf numFmtId="0" fontId="1" fillId="9" borderId="0" xfId="0" applyFont="1" applyFill="1" applyBorder="1" applyAlignment="1" applyProtection="1">
      <alignment horizontal="center" vertical="center"/>
    </xf>
    <xf numFmtId="0" fontId="3" fillId="9" borderId="0" xfId="0" applyFont="1" applyFill="1" applyBorder="1" applyAlignment="1" applyProtection="1">
      <alignment horizontal="center" vertical="center"/>
    </xf>
    <xf numFmtId="0" fontId="3" fillId="9" borderId="5" xfId="0" applyFont="1" applyFill="1" applyBorder="1" applyAlignment="1" applyProtection="1">
      <alignment horizontal="center" vertical="center"/>
    </xf>
    <xf numFmtId="0" fontId="1" fillId="9" borderId="5" xfId="0" quotePrefix="1" applyFont="1" applyFill="1" applyBorder="1" applyAlignment="1" applyProtection="1">
      <alignment horizontal="center" vertical="center"/>
    </xf>
    <xf numFmtId="164" fontId="0" fillId="4" borderId="0" xfId="0" applyNumberFormat="1" applyFill="1" applyBorder="1" applyAlignment="1" applyProtection="1">
      <alignment horizontal="left"/>
      <protection locked="0"/>
    </xf>
    <xf numFmtId="0" fontId="0" fillId="0" borderId="11" xfId="0" applyBorder="1" applyProtection="1"/>
    <xf numFmtId="0" fontId="1" fillId="0" borderId="13" xfId="0" applyFont="1" applyBorder="1" applyAlignment="1" applyProtection="1">
      <alignment horizontal="center" vertical="center"/>
    </xf>
    <xf numFmtId="0" fontId="1" fillId="0" borderId="11" xfId="0" applyFont="1" applyBorder="1" applyAlignment="1" applyProtection="1">
      <alignment horizontal="center" vertical="center"/>
    </xf>
    <xf numFmtId="0" fontId="4" fillId="0" borderId="12" xfId="0" applyFont="1" applyBorder="1" applyAlignment="1" applyProtection="1">
      <alignment horizontal="center" vertical="center" wrapText="1"/>
    </xf>
    <xf numFmtId="0" fontId="4" fillId="0" borderId="13" xfId="0" applyFont="1" applyBorder="1" applyAlignment="1" applyProtection="1">
      <alignment horizontal="center" vertical="center" wrapText="1"/>
    </xf>
    <xf numFmtId="0" fontId="5" fillId="0" borderId="0" xfId="0" applyFont="1" applyBorder="1" applyAlignment="1" applyProtection="1">
      <alignment horizontal="center" vertical="center"/>
    </xf>
    <xf numFmtId="0" fontId="0" fillId="2" borderId="4" xfId="0" applyFill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10" borderId="6" xfId="0" applyFill="1" applyBorder="1" applyProtection="1"/>
    <xf numFmtId="167" fontId="0" fillId="4" borderId="7" xfId="0" applyNumberFormat="1" applyFill="1" applyBorder="1" applyAlignment="1" applyProtection="1">
      <alignment horizontal="left"/>
      <protection locked="0"/>
    </xf>
    <xf numFmtId="0" fontId="1" fillId="10" borderId="8" xfId="0" applyFont="1" applyFill="1" applyBorder="1" applyAlignment="1" applyProtection="1">
      <alignment horizontal="right"/>
    </xf>
    <xf numFmtId="0" fontId="1" fillId="3" borderId="6" xfId="0" applyFont="1" applyFill="1" applyBorder="1" applyProtection="1"/>
    <xf numFmtId="2" fontId="0" fillId="3" borderId="7" xfId="0" applyNumberFormat="1" applyFill="1" applyBorder="1" applyAlignment="1" applyProtection="1">
      <alignment horizontal="left"/>
    </xf>
    <xf numFmtId="0" fontId="1" fillId="3" borderId="8" xfId="0" applyFont="1" applyFill="1" applyBorder="1" applyAlignment="1" applyProtection="1">
      <alignment horizontal="right"/>
    </xf>
    <xf numFmtId="0" fontId="0" fillId="10" borderId="9" xfId="0" applyFill="1" applyBorder="1" applyProtection="1"/>
    <xf numFmtId="167" fontId="0" fillId="4" borderId="0" xfId="0" applyNumberFormat="1" applyFill="1" applyBorder="1" applyAlignment="1" applyProtection="1">
      <alignment horizontal="left"/>
      <protection locked="0"/>
    </xf>
    <xf numFmtId="0" fontId="1" fillId="10" borderId="10" xfId="0" applyFont="1" applyFill="1" applyBorder="1" applyAlignment="1" applyProtection="1">
      <alignment horizontal="right"/>
    </xf>
    <xf numFmtId="0" fontId="0" fillId="3" borderId="20" xfId="0" applyFill="1" applyBorder="1" applyProtection="1"/>
    <xf numFmtId="166" fontId="0" fillId="4" borderId="21" xfId="0" applyNumberFormat="1" applyFill="1" applyBorder="1" applyAlignment="1" applyProtection="1">
      <alignment horizontal="left"/>
      <protection locked="0"/>
    </xf>
    <xf numFmtId="0" fontId="0" fillId="3" borderId="22" xfId="0" applyFill="1" applyBorder="1" applyAlignment="1" applyProtection="1">
      <alignment horizontal="right"/>
    </xf>
    <xf numFmtId="0" fontId="1" fillId="0" borderId="5" xfId="0" applyFont="1" applyBorder="1" applyAlignment="1" applyProtection="1">
      <alignment horizontal="center" vertical="center"/>
    </xf>
    <xf numFmtId="167" fontId="0" fillId="4" borderId="21" xfId="0" applyNumberFormat="1" applyFill="1" applyBorder="1" applyAlignment="1" applyProtection="1">
      <alignment horizontal="left"/>
      <protection locked="0"/>
    </xf>
    <xf numFmtId="0" fontId="4" fillId="10" borderId="6" xfId="0" applyFont="1" applyFill="1" applyBorder="1" applyProtection="1"/>
    <xf numFmtId="166" fontId="0" fillId="4" borderId="7" xfId="0" applyNumberFormat="1" applyFill="1" applyBorder="1" applyAlignment="1" applyProtection="1">
      <alignment horizontal="left" vertical="center"/>
      <protection locked="0"/>
    </xf>
    <xf numFmtId="0" fontId="1" fillId="0" borderId="4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2" fontId="0" fillId="4" borderId="7" xfId="0" applyNumberFormat="1" applyFill="1" applyBorder="1" applyAlignment="1" applyProtection="1">
      <alignment horizontal="left"/>
      <protection locked="0"/>
    </xf>
    <xf numFmtId="0" fontId="4" fillId="10" borderId="9" xfId="0" applyFont="1" applyFill="1" applyBorder="1" applyProtection="1"/>
    <xf numFmtId="167" fontId="1" fillId="4" borderId="0" xfId="0" applyNumberFormat="1" applyFont="1" applyFill="1" applyBorder="1" applyAlignment="1" applyProtection="1">
      <alignment horizontal="left" vertical="center"/>
      <protection locked="0"/>
    </xf>
    <xf numFmtId="0" fontId="0" fillId="0" borderId="15" xfId="0" applyBorder="1" applyAlignment="1" applyProtection="1">
      <alignment horizontal="center" vertical="center"/>
    </xf>
    <xf numFmtId="168" fontId="0" fillId="4" borderId="7" xfId="0" applyNumberFormat="1" applyFill="1" applyBorder="1" applyAlignment="1" applyProtection="1">
      <alignment horizontal="left"/>
      <protection locked="0"/>
    </xf>
    <xf numFmtId="168" fontId="0" fillId="4" borderId="0" xfId="0" applyNumberFormat="1" applyFill="1" applyBorder="1" applyAlignment="1" applyProtection="1">
      <alignment horizontal="left"/>
      <protection locked="0"/>
    </xf>
    <xf numFmtId="0" fontId="1" fillId="0" borderId="11" xfId="0" applyFont="1" applyBorder="1" applyAlignment="1" applyProtection="1">
      <alignment vertical="center"/>
    </xf>
    <xf numFmtId="168" fontId="0" fillId="4" borderId="12" xfId="0" applyNumberFormat="1" applyFill="1" applyBorder="1" applyAlignment="1" applyProtection="1">
      <alignment horizontal="left" vertical="center"/>
      <protection locked="0"/>
    </xf>
    <xf numFmtId="0" fontId="1" fillId="10" borderId="13" xfId="0" applyFont="1" applyFill="1" applyBorder="1" applyAlignment="1" applyProtection="1">
      <alignment horizontal="right" vertical="center"/>
    </xf>
    <xf numFmtId="0" fontId="0" fillId="2" borderId="14" xfId="0" applyFill="1" applyBorder="1" applyProtection="1"/>
    <xf numFmtId="0" fontId="0" fillId="0" borderId="15" xfId="0" applyBorder="1" applyProtection="1"/>
    <xf numFmtId="0" fontId="0" fillId="2" borderId="16" xfId="0" applyFill="1" applyBorder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 vertical="center"/>
    </xf>
    <xf numFmtId="0" fontId="0" fillId="2" borderId="0" xfId="0" applyFill="1" applyAlignment="1" applyProtection="1">
      <alignment horizontal="right"/>
    </xf>
    <xf numFmtId="0" fontId="1" fillId="0" borderId="0" xfId="1" applyProtection="1"/>
    <xf numFmtId="0" fontId="1" fillId="0" borderId="0" xfId="1" applyBorder="1" applyAlignment="1" applyProtection="1">
      <alignment horizontal="center"/>
    </xf>
    <xf numFmtId="0" fontId="1" fillId="0" borderId="0" xfId="1" applyAlignment="1" applyProtection="1">
      <alignment horizontal="center"/>
    </xf>
    <xf numFmtId="0" fontId="2" fillId="0" borderId="0" xfId="1" applyFont="1" applyBorder="1" applyAlignment="1" applyProtection="1">
      <alignment horizontal="center"/>
    </xf>
    <xf numFmtId="0" fontId="1" fillId="0" borderId="0" xfId="1" applyBorder="1" applyProtection="1"/>
    <xf numFmtId="0" fontId="0" fillId="3" borderId="8" xfId="0" applyFont="1" applyFill="1" applyBorder="1" applyAlignment="1" applyProtection="1">
      <alignment horizontal="right"/>
    </xf>
    <xf numFmtId="0" fontId="4" fillId="0" borderId="15" xfId="0" applyFont="1" applyBorder="1" applyAlignment="1" applyProtection="1">
      <alignment horizontal="center" vertical="center"/>
    </xf>
    <xf numFmtId="0" fontId="1" fillId="0" borderId="0" xfId="1" applyAlignment="1" applyProtection="1">
      <alignment horizontal="center" vertical="center"/>
    </xf>
    <xf numFmtId="0" fontId="1" fillId="0" borderId="0" xfId="1" applyAlignment="1" applyProtection="1">
      <alignment vertical="center"/>
    </xf>
    <xf numFmtId="0" fontId="1" fillId="0" borderId="0" xfId="1" applyBorder="1" applyAlignment="1" applyProtection="1">
      <alignment vertical="center"/>
    </xf>
    <xf numFmtId="0" fontId="1" fillId="0" borderId="0" xfId="1" applyFill="1" applyBorder="1" applyAlignment="1" applyProtection="1">
      <alignment horizontal="center" vertical="center"/>
    </xf>
    <xf numFmtId="0" fontId="1" fillId="0" borderId="0" xfId="1" applyFill="1" applyAlignment="1" applyProtection="1">
      <alignment horizontal="center" vertical="center"/>
    </xf>
    <xf numFmtId="0" fontId="1" fillId="0" borderId="10" xfId="1" applyBorder="1" applyAlignment="1" applyProtection="1">
      <alignment horizontal="center" vertical="center"/>
    </xf>
    <xf numFmtId="0" fontId="1" fillId="0" borderId="0" xfId="1" applyBorder="1" applyAlignment="1" applyProtection="1">
      <alignment horizontal="center" vertical="center"/>
    </xf>
    <xf numFmtId="0" fontId="8" fillId="3" borderId="22" xfId="1" applyFont="1" applyFill="1" applyBorder="1" applyAlignment="1" applyProtection="1">
      <alignment horizontal="right" vertical="center"/>
    </xf>
    <xf numFmtId="0" fontId="8" fillId="3" borderId="8" xfId="1" applyFont="1" applyFill="1" applyBorder="1" applyAlignment="1" applyProtection="1">
      <alignment horizontal="right" vertical="center"/>
    </xf>
    <xf numFmtId="0" fontId="1" fillId="0" borderId="0" xfId="1" applyAlignment="1">
      <alignment vertical="center"/>
    </xf>
    <xf numFmtId="0" fontId="1" fillId="0" borderId="0" xfId="1" applyBorder="1" applyAlignment="1">
      <alignment vertical="center"/>
    </xf>
    <xf numFmtId="0" fontId="2" fillId="3" borderId="8" xfId="1" applyFont="1" applyFill="1" applyBorder="1" applyAlignment="1" applyProtection="1">
      <alignment horizontal="center" vertical="center"/>
    </xf>
    <xf numFmtId="0" fontId="2" fillId="3" borderId="7" xfId="1" applyFont="1" applyFill="1" applyBorder="1" applyAlignment="1" applyProtection="1">
      <alignment horizontal="center" vertical="center"/>
    </xf>
    <xf numFmtId="0" fontId="2" fillId="3" borderId="6" xfId="1" applyFont="1" applyFill="1" applyBorder="1" applyAlignment="1" applyProtection="1">
      <alignment horizontal="center" vertical="center"/>
    </xf>
    <xf numFmtId="0" fontId="2" fillId="14" borderId="8" xfId="1" applyFont="1" applyFill="1" applyBorder="1" applyAlignment="1" applyProtection="1">
      <alignment horizontal="center" vertical="center"/>
    </xf>
    <xf numFmtId="0" fontId="2" fillId="14" borderId="7" xfId="1" applyFont="1" applyFill="1" applyBorder="1" applyAlignment="1" applyProtection="1">
      <alignment horizontal="center" vertical="center"/>
    </xf>
    <xf numFmtId="0" fontId="2" fillId="14" borderId="6" xfId="1" applyFont="1" applyFill="1" applyBorder="1" applyAlignment="1" applyProtection="1">
      <alignment horizontal="center" vertical="center"/>
    </xf>
    <xf numFmtId="0" fontId="2" fillId="0" borderId="26" xfId="1" applyFont="1" applyBorder="1" applyAlignment="1" applyProtection="1">
      <alignment horizontal="center" vertical="center"/>
    </xf>
    <xf numFmtId="0" fontId="2" fillId="3" borderId="26" xfId="1" applyFont="1" applyFill="1" applyBorder="1" applyAlignment="1" applyProtection="1">
      <alignment horizontal="center" vertical="center"/>
    </xf>
    <xf numFmtId="0" fontId="2" fillId="3" borderId="35" xfId="1" applyFont="1" applyFill="1" applyBorder="1" applyAlignment="1" applyProtection="1">
      <alignment horizontal="center" vertical="center"/>
    </xf>
    <xf numFmtId="0" fontId="1" fillId="12" borderId="0" xfId="1" applyFill="1" applyBorder="1" applyAlignment="1" applyProtection="1">
      <alignment horizontal="center" vertical="center"/>
      <protection locked="0"/>
    </xf>
    <xf numFmtId="0" fontId="1" fillId="0" borderId="9" xfId="1" applyBorder="1" applyAlignment="1" applyProtection="1">
      <alignment horizontal="center" vertical="center"/>
    </xf>
    <xf numFmtId="0" fontId="1" fillId="12" borderId="10" xfId="1" applyFill="1" applyBorder="1" applyAlignment="1" applyProtection="1">
      <alignment horizontal="center" vertical="center"/>
      <protection locked="0"/>
    </xf>
    <xf numFmtId="0" fontId="1" fillId="0" borderId="9" xfId="1" applyFill="1" applyBorder="1" applyAlignment="1" applyProtection="1">
      <alignment horizontal="center" vertical="center"/>
    </xf>
    <xf numFmtId="166" fontId="1" fillId="0" borderId="24" xfId="1" applyNumberFormat="1" applyFill="1" applyBorder="1" applyAlignment="1" applyProtection="1">
      <alignment horizontal="center" vertical="center"/>
    </xf>
    <xf numFmtId="2" fontId="1" fillId="4" borderId="10" xfId="1" applyNumberFormat="1" applyFont="1" applyFill="1" applyBorder="1" applyAlignment="1" applyProtection="1">
      <alignment horizontal="right" vertical="center"/>
    </xf>
    <xf numFmtId="164" fontId="1" fillId="0" borderId="0" xfId="1" applyNumberFormat="1" applyBorder="1" applyAlignment="1" applyProtection="1">
      <alignment horizontal="center" vertical="center"/>
    </xf>
    <xf numFmtId="167" fontId="1" fillId="0" borderId="0" xfId="1" applyNumberFormat="1" applyBorder="1" applyAlignment="1" applyProtection="1">
      <alignment horizontal="center" vertical="center"/>
    </xf>
    <xf numFmtId="0" fontId="2" fillId="3" borderId="24" xfId="1" applyFont="1" applyFill="1" applyBorder="1" applyAlignment="1" applyProtection="1">
      <alignment horizontal="center" vertical="center"/>
    </xf>
    <xf numFmtId="0" fontId="1" fillId="12" borderId="7" xfId="1" applyFill="1" applyBorder="1" applyAlignment="1" applyProtection="1">
      <alignment horizontal="center" vertical="center"/>
      <protection locked="0"/>
    </xf>
    <xf numFmtId="0" fontId="1" fillId="0" borderId="6" xfId="1" applyBorder="1" applyAlignment="1" applyProtection="1">
      <alignment horizontal="center" vertical="center"/>
    </xf>
    <xf numFmtId="0" fontId="1" fillId="12" borderId="8" xfId="1" applyFill="1" applyBorder="1" applyAlignment="1" applyProtection="1">
      <alignment horizontal="center" vertical="center"/>
      <protection locked="0"/>
    </xf>
    <xf numFmtId="0" fontId="1" fillId="0" borderId="6" xfId="1" applyFill="1" applyBorder="1" applyAlignment="1" applyProtection="1">
      <alignment horizontal="center" vertical="center"/>
    </xf>
    <xf numFmtId="166" fontId="1" fillId="0" borderId="23" xfId="1" applyNumberFormat="1" applyFill="1" applyBorder="1" applyAlignment="1" applyProtection="1">
      <alignment horizontal="center" vertical="center"/>
    </xf>
    <xf numFmtId="2" fontId="1" fillId="4" borderId="8" xfId="1" applyNumberFormat="1" applyFont="1" applyFill="1" applyBorder="1" applyAlignment="1" applyProtection="1">
      <alignment horizontal="right" vertical="center"/>
    </xf>
    <xf numFmtId="164" fontId="1" fillId="0" borderId="7" xfId="1" applyNumberFormat="1" applyBorder="1" applyAlignment="1" applyProtection="1">
      <alignment horizontal="center" vertical="center"/>
    </xf>
    <xf numFmtId="167" fontId="1" fillId="0" borderId="7" xfId="1" applyNumberFormat="1" applyBorder="1" applyAlignment="1" applyProtection="1">
      <alignment horizontal="center" vertical="center"/>
    </xf>
    <xf numFmtId="0" fontId="9" fillId="4" borderId="9" xfId="1" applyFont="1" applyFill="1" applyBorder="1" applyAlignment="1" applyProtection="1">
      <alignment horizontal="left" vertical="center"/>
    </xf>
    <xf numFmtId="2" fontId="1" fillId="0" borderId="0" xfId="1" applyNumberFormat="1" applyAlignment="1" applyProtection="1">
      <alignment horizontal="center" vertical="center"/>
    </xf>
    <xf numFmtId="166" fontId="1" fillId="0" borderId="0" xfId="1" applyNumberFormat="1" applyAlignment="1" applyProtection="1">
      <alignment vertical="center"/>
    </xf>
    <xf numFmtId="166" fontId="1" fillId="0" borderId="0" xfId="1" applyNumberFormat="1" applyBorder="1" applyAlignment="1" applyProtection="1">
      <alignment vertical="center"/>
    </xf>
    <xf numFmtId="0" fontId="2" fillId="3" borderId="23" xfId="1" applyFont="1" applyFill="1" applyBorder="1" applyAlignment="1" applyProtection="1">
      <alignment horizontal="center" vertical="center"/>
    </xf>
    <xf numFmtId="0" fontId="9" fillId="4" borderId="6" xfId="1" applyFont="1" applyFill="1" applyBorder="1" applyAlignment="1" applyProtection="1">
      <alignment horizontal="left" vertical="center"/>
    </xf>
    <xf numFmtId="167" fontId="1" fillId="0" borderId="0" xfId="1" applyNumberFormat="1" applyAlignment="1" applyProtection="1">
      <alignment vertical="center"/>
    </xf>
    <xf numFmtId="0" fontId="1" fillId="0" borderId="27" xfId="1" applyBorder="1" applyAlignment="1" applyProtection="1">
      <alignment horizontal="right" vertical="center"/>
    </xf>
    <xf numFmtId="0" fontId="16" fillId="0" borderId="25" xfId="1" applyFont="1" applyFill="1" applyBorder="1" applyAlignment="1" applyProtection="1">
      <alignment horizontal="left" vertical="center"/>
    </xf>
    <xf numFmtId="10" fontId="1" fillId="0" borderId="0" xfId="1" applyNumberFormat="1" applyAlignment="1" applyProtection="1">
      <alignment vertical="center"/>
    </xf>
    <xf numFmtId="0" fontId="18" fillId="12" borderId="20" xfId="1" applyFont="1" applyFill="1" applyBorder="1" applyAlignment="1" applyProtection="1">
      <alignment horizontal="center" vertical="center"/>
      <protection locked="0"/>
    </xf>
    <xf numFmtId="0" fontId="1" fillId="0" borderId="16" xfId="1" applyBorder="1" applyAlignment="1" applyProtection="1">
      <alignment horizontal="center" vertical="center"/>
    </xf>
    <xf numFmtId="0" fontId="1" fillId="0" borderId="15" xfId="1" applyBorder="1" applyAlignment="1" applyProtection="1">
      <alignment horizontal="center" vertical="center"/>
    </xf>
    <xf numFmtId="0" fontId="1" fillId="3" borderId="14" xfId="1" applyFill="1" applyBorder="1" applyAlignment="1" applyProtection="1">
      <alignment vertical="center"/>
    </xf>
    <xf numFmtId="0" fontId="1" fillId="0" borderId="32" xfId="1" applyBorder="1" applyAlignment="1" applyProtection="1">
      <alignment horizontal="center" vertical="center"/>
    </xf>
    <xf numFmtId="0" fontId="1" fillId="0" borderId="7" xfId="1" applyBorder="1" applyAlignment="1" applyProtection="1">
      <alignment horizontal="center" vertical="center"/>
    </xf>
    <xf numFmtId="0" fontId="17" fillId="14" borderId="8" xfId="1" applyFont="1" applyFill="1" applyBorder="1" applyAlignment="1" applyProtection="1">
      <alignment horizontal="center" vertical="center"/>
    </xf>
    <xf numFmtId="0" fontId="17" fillId="14" borderId="6" xfId="1" applyFont="1" applyFill="1" applyBorder="1" applyAlignment="1" applyProtection="1">
      <alignment horizontal="center" vertical="center"/>
    </xf>
    <xf numFmtId="0" fontId="2" fillId="3" borderId="31" xfId="1" applyFont="1" applyFill="1" applyBorder="1" applyAlignment="1" applyProtection="1">
      <alignment horizontal="center" vertical="center"/>
    </xf>
    <xf numFmtId="0" fontId="11" fillId="0" borderId="5" xfId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2" fontId="15" fillId="14" borderId="10" xfId="1" applyNumberFormat="1" applyFont="1" applyFill="1" applyBorder="1" applyAlignment="1" applyProtection="1">
      <alignment horizontal="center" vertical="center"/>
    </xf>
    <xf numFmtId="2" fontId="15" fillId="14" borderId="9" xfId="1" applyNumberFormat="1" applyFont="1" applyFill="1" applyBorder="1" applyAlignment="1" applyProtection="1">
      <alignment horizontal="center" vertical="center"/>
    </xf>
    <xf numFmtId="2" fontId="1" fillId="3" borderId="4" xfId="1" applyNumberFormat="1" applyFill="1" applyBorder="1" applyAlignment="1" applyProtection="1">
      <alignment horizontal="center" vertical="center"/>
    </xf>
    <xf numFmtId="0" fontId="2" fillId="0" borderId="0" xfId="1" applyFont="1" applyBorder="1" applyAlignment="1" applyProtection="1">
      <alignment horizontal="center" vertical="center"/>
    </xf>
    <xf numFmtId="167" fontId="15" fillId="14" borderId="10" xfId="1" applyNumberFormat="1" applyFont="1" applyFill="1" applyBorder="1" applyAlignment="1" applyProtection="1">
      <alignment horizontal="center" vertical="center"/>
    </xf>
    <xf numFmtId="167" fontId="15" fillId="14" borderId="9" xfId="1" applyNumberFormat="1" applyFont="1" applyFill="1" applyBorder="1" applyAlignment="1" applyProtection="1">
      <alignment horizontal="center" vertical="center"/>
    </xf>
    <xf numFmtId="167" fontId="1" fillId="3" borderId="4" xfId="1" applyNumberFormat="1" applyFill="1" applyBorder="1" applyAlignment="1" applyProtection="1">
      <alignment horizontal="center" vertical="center"/>
    </xf>
    <xf numFmtId="0" fontId="13" fillId="0" borderId="10" xfId="1" applyFont="1" applyBorder="1" applyAlignment="1" applyProtection="1">
      <alignment horizontal="center" vertical="center"/>
    </xf>
    <xf numFmtId="0" fontId="13" fillId="12" borderId="9" xfId="1" applyFont="1" applyFill="1" applyBorder="1" applyAlignment="1" applyProtection="1">
      <alignment horizontal="center" vertical="center"/>
      <protection locked="0"/>
    </xf>
    <xf numFmtId="168" fontId="15" fillId="14" borderId="10" xfId="1" applyNumberFormat="1" applyFont="1" applyFill="1" applyBorder="1" applyAlignment="1" applyProtection="1">
      <alignment horizontal="center" vertical="center"/>
    </xf>
    <xf numFmtId="168" fontId="15" fillId="14" borderId="9" xfId="1" applyNumberFormat="1" applyFont="1" applyFill="1" applyBorder="1" applyAlignment="1" applyProtection="1">
      <alignment horizontal="center" vertical="center"/>
    </xf>
    <xf numFmtId="168" fontId="1" fillId="3" borderId="4" xfId="1" applyNumberFormat="1" applyFill="1" applyBorder="1" applyAlignment="1" applyProtection="1">
      <alignment horizontal="center" vertical="center"/>
    </xf>
    <xf numFmtId="1" fontId="13" fillId="12" borderId="9" xfId="1" applyNumberFormat="1" applyFont="1" applyFill="1" applyBorder="1" applyAlignment="1" applyProtection="1">
      <alignment horizontal="center" vertical="center"/>
      <protection locked="0"/>
    </xf>
    <xf numFmtId="166" fontId="15" fillId="14" borderId="10" xfId="1" applyNumberFormat="1" applyFont="1" applyFill="1" applyBorder="1" applyAlignment="1" applyProtection="1">
      <alignment horizontal="center" vertical="center"/>
    </xf>
    <xf numFmtId="166" fontId="15" fillId="14" borderId="9" xfId="1" applyNumberFormat="1" applyFont="1" applyFill="1" applyBorder="1" applyAlignment="1" applyProtection="1">
      <alignment horizontal="center" vertical="center"/>
    </xf>
    <xf numFmtId="166" fontId="1" fillId="3" borderId="4" xfId="1" applyNumberFormat="1" applyFill="1" applyBorder="1" applyAlignment="1" applyProtection="1">
      <alignment horizontal="center" vertical="center"/>
    </xf>
    <xf numFmtId="0" fontId="13" fillId="0" borderId="8" xfId="1" applyFont="1" applyBorder="1" applyAlignment="1" applyProtection="1">
      <alignment horizontal="center" vertical="center"/>
    </xf>
    <xf numFmtId="1" fontId="13" fillId="12" borderId="6" xfId="1" applyNumberFormat="1" applyFont="1" applyFill="1" applyBorder="1" applyAlignment="1" applyProtection="1">
      <alignment horizontal="center" vertical="center"/>
      <protection locked="0"/>
    </xf>
    <xf numFmtId="0" fontId="11" fillId="0" borderId="3" xfId="1" applyFont="1" applyBorder="1" applyAlignment="1" applyProtection="1">
      <alignment horizontal="center" vertical="center"/>
    </xf>
    <xf numFmtId="0" fontId="16" fillId="0" borderId="2" xfId="1" applyFont="1" applyBorder="1" applyAlignment="1" applyProtection="1">
      <alignment horizontal="center" vertical="center"/>
    </xf>
    <xf numFmtId="166" fontId="15" fillId="14" borderId="30" xfId="1" applyNumberFormat="1" applyFont="1" applyFill="1" applyBorder="1" applyAlignment="1" applyProtection="1">
      <alignment horizontal="center" vertical="center"/>
    </xf>
    <xf numFmtId="166" fontId="15" fillId="14" borderId="29" xfId="1" applyNumberFormat="1" applyFont="1" applyFill="1" applyBorder="1" applyAlignment="1" applyProtection="1">
      <alignment horizontal="center" vertical="center"/>
    </xf>
    <xf numFmtId="167" fontId="1" fillId="3" borderId="1" xfId="1" applyNumberFormat="1" applyFill="1" applyBorder="1" applyAlignment="1" applyProtection="1">
      <alignment horizontal="center" vertical="center"/>
    </xf>
    <xf numFmtId="2" fontId="1" fillId="0" borderId="0" xfId="1" applyNumberFormat="1" applyAlignment="1" applyProtection="1">
      <alignment vertical="center"/>
    </xf>
    <xf numFmtId="0" fontId="14" fillId="0" borderId="0" xfId="1" applyFont="1" applyBorder="1" applyAlignment="1" applyProtection="1">
      <alignment horizontal="center" vertical="center"/>
    </xf>
    <xf numFmtId="168" fontId="12" fillId="0" borderId="6" xfId="1" applyNumberFormat="1" applyFont="1" applyFill="1" applyBorder="1" applyAlignment="1" applyProtection="1">
      <alignment horizontal="center" vertical="center"/>
      <protection locked="0"/>
    </xf>
    <xf numFmtId="0" fontId="2" fillId="14" borderId="28" xfId="1" applyFont="1" applyFill="1" applyBorder="1" applyAlignment="1" applyProtection="1">
      <alignment horizontal="center" vertical="center"/>
    </xf>
    <xf numFmtId="0" fontId="2" fillId="14" borderId="27" xfId="1" applyFont="1" applyFill="1" applyBorder="1" applyAlignment="1" applyProtection="1">
      <alignment horizontal="center" vertical="center"/>
    </xf>
    <xf numFmtId="0" fontId="2" fillId="14" borderId="26" xfId="1" applyFont="1" applyFill="1" applyBorder="1" applyAlignment="1" applyProtection="1">
      <alignment horizontal="center" vertical="center"/>
    </xf>
    <xf numFmtId="0" fontId="2" fillId="3" borderId="27" xfId="1" applyFont="1" applyFill="1" applyBorder="1" applyAlignment="1" applyProtection="1">
      <alignment horizontal="center" vertical="center"/>
    </xf>
    <xf numFmtId="0" fontId="2" fillId="3" borderId="25" xfId="1" applyFont="1" applyFill="1" applyBorder="1" applyAlignment="1" applyProtection="1">
      <alignment horizontal="center" vertical="center"/>
    </xf>
    <xf numFmtId="0" fontId="10" fillId="13" borderId="10" xfId="1" applyFont="1" applyFill="1" applyBorder="1" applyAlignment="1" applyProtection="1">
      <alignment horizontal="center" vertical="center"/>
    </xf>
    <xf numFmtId="0" fontId="1" fillId="0" borderId="24" xfId="1" applyFill="1" applyBorder="1" applyAlignment="1" applyProtection="1">
      <alignment horizontal="center" vertical="center"/>
    </xf>
    <xf numFmtId="166" fontId="8" fillId="0" borderId="9" xfId="1" applyNumberFormat="1" applyFont="1" applyBorder="1" applyAlignment="1" applyProtection="1">
      <alignment horizontal="center" vertical="center"/>
    </xf>
    <xf numFmtId="0" fontId="10" fillId="13" borderId="8" xfId="1" applyFont="1" applyFill="1" applyBorder="1" applyAlignment="1" applyProtection="1">
      <alignment horizontal="center" vertical="center"/>
    </xf>
    <xf numFmtId="0" fontId="1" fillId="0" borderId="23" xfId="1" applyFill="1" applyBorder="1" applyAlignment="1" applyProtection="1">
      <alignment horizontal="center" vertical="center"/>
    </xf>
    <xf numFmtId="166" fontId="1" fillId="4" borderId="8" xfId="1" applyNumberFormat="1" applyFont="1" applyFill="1" applyBorder="1" applyAlignment="1" applyProtection="1">
      <alignment horizontal="right" vertical="center"/>
    </xf>
    <xf numFmtId="166" fontId="8" fillId="0" borderId="6" xfId="1" applyNumberFormat="1" applyFont="1" applyBorder="1" applyAlignment="1" applyProtection="1">
      <alignment horizontal="center" vertical="center"/>
    </xf>
    <xf numFmtId="164" fontId="0" fillId="17" borderId="4" xfId="0" applyNumberFormat="1" applyFill="1" applyBorder="1" applyAlignment="1" applyProtection="1">
      <alignment horizontal="center" vertical="center"/>
    </xf>
    <xf numFmtId="167" fontId="0" fillId="17" borderId="0" xfId="0" applyNumberFormat="1" applyFill="1" applyBorder="1" applyAlignment="1" applyProtection="1">
      <alignment horizontal="left"/>
      <protection locked="0"/>
    </xf>
    <xf numFmtId="164" fontId="0" fillId="16" borderId="1" xfId="0" applyNumberFormat="1" applyFill="1" applyBorder="1" applyAlignment="1" applyProtection="1">
      <alignment horizontal="center" vertical="center"/>
    </xf>
    <xf numFmtId="164" fontId="0" fillId="16" borderId="0" xfId="0" applyNumberFormat="1" applyFill="1" applyBorder="1" applyAlignment="1" applyProtection="1">
      <alignment horizontal="left"/>
      <protection locked="0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36" xfId="0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1" fillId="0" borderId="37" xfId="0" applyFont="1" applyBorder="1" applyAlignment="1" applyProtection="1">
      <alignment horizontal="center" vertical="center"/>
    </xf>
    <xf numFmtId="0" fontId="1" fillId="0" borderId="38" xfId="0" applyFont="1" applyBorder="1" applyAlignment="1" applyProtection="1">
      <alignment horizontal="center" vertical="center"/>
    </xf>
    <xf numFmtId="0" fontId="1" fillId="9" borderId="10" xfId="0" applyFont="1" applyFill="1" applyBorder="1" applyAlignment="1" applyProtection="1">
      <alignment horizontal="center" vertical="center"/>
    </xf>
    <xf numFmtId="0" fontId="1" fillId="9" borderId="9" xfId="0" applyFont="1" applyFill="1" applyBorder="1" applyAlignment="1" applyProtection="1">
      <alignment horizontal="center" vertical="center"/>
    </xf>
    <xf numFmtId="0" fontId="0" fillId="0" borderId="10" xfId="0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19" borderId="0" xfId="0" applyFill="1" applyBorder="1" applyAlignment="1">
      <alignment horizontal="right" vertical="center"/>
    </xf>
    <xf numFmtId="0" fontId="2" fillId="19" borderId="5" xfId="0" applyFont="1" applyFill="1" applyBorder="1" applyAlignment="1" applyProtection="1">
      <alignment horizontal="center" vertical="center"/>
    </xf>
    <xf numFmtId="0" fontId="0" fillId="0" borderId="0" xfId="0" applyAlignment="1">
      <alignment vertical="center"/>
    </xf>
    <xf numFmtId="0" fontId="0" fillId="19" borderId="0" xfId="0" applyFill="1" applyBorder="1" applyAlignment="1" applyProtection="1">
      <alignment horizontal="right" vertical="center"/>
    </xf>
    <xf numFmtId="0" fontId="0" fillId="19" borderId="4" xfId="0" applyFill="1" applyBorder="1" applyAlignment="1" applyProtection="1">
      <alignment vertical="center"/>
    </xf>
    <xf numFmtId="0" fontId="0" fillId="19" borderId="4" xfId="0" applyFill="1" applyBorder="1" applyAlignment="1">
      <alignment vertical="center"/>
    </xf>
    <xf numFmtId="0" fontId="0" fillId="0" borderId="0" xfId="1" applyFont="1" applyProtection="1"/>
    <xf numFmtId="14" fontId="0" fillId="0" borderId="0" xfId="0" applyNumberFormat="1" applyBorder="1" applyAlignment="1" applyProtection="1">
      <alignment horizont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167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14" fontId="0" fillId="0" borderId="0" xfId="0" applyNumberFormat="1" applyAlignment="1" applyProtection="1">
      <alignment horizontal="left"/>
    </xf>
    <xf numFmtId="2" fontId="0" fillId="0" borderId="26" xfId="1" applyNumberFormat="1" applyFont="1" applyBorder="1" applyAlignment="1" applyProtection="1">
      <alignment horizontal="left" vertical="center"/>
    </xf>
    <xf numFmtId="2" fontId="2" fillId="12" borderId="10" xfId="1" applyNumberFormat="1" applyFont="1" applyFill="1" applyBorder="1" applyAlignment="1" applyProtection="1">
      <alignment horizontal="center" vertical="center"/>
      <protection locked="0"/>
    </xf>
    <xf numFmtId="2" fontId="2" fillId="12" borderId="8" xfId="1" applyNumberFormat="1" applyFont="1" applyFill="1" applyBorder="1" applyAlignment="1" applyProtection="1">
      <alignment horizontal="center" vertical="center"/>
      <protection locked="0"/>
    </xf>
    <xf numFmtId="167" fontId="0" fillId="0" borderId="0" xfId="0" applyNumberFormat="1" applyFill="1" applyAlignment="1">
      <alignment horizontal="center" vertical="center"/>
    </xf>
    <xf numFmtId="168" fontId="0" fillId="0" borderId="0" xfId="0" applyNumberFormat="1" applyFill="1" applyBorder="1" applyAlignment="1" applyProtection="1">
      <alignment horizontal="center" vertical="center"/>
    </xf>
    <xf numFmtId="166" fontId="0" fillId="0" borderId="0" xfId="0" applyNumberFormat="1" applyFill="1" applyBorder="1" applyAlignment="1" applyProtection="1">
      <alignment horizontal="center" vertical="center"/>
    </xf>
    <xf numFmtId="0" fontId="0" fillId="0" borderId="0" xfId="0" applyFill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20" borderId="10" xfId="1" applyFont="1" applyFill="1" applyBorder="1" applyAlignment="1" applyProtection="1">
      <alignment horizontal="center" vertical="center"/>
      <protection locked="0"/>
    </xf>
    <xf numFmtId="0" fontId="0" fillId="8" borderId="10" xfId="0" applyFill="1" applyBorder="1" applyAlignment="1">
      <alignment horizontal="center" vertical="center"/>
    </xf>
    <xf numFmtId="0" fontId="0" fillId="8" borderId="0" xfId="0" applyFill="1" applyBorder="1" applyAlignment="1">
      <alignment vertical="center"/>
    </xf>
    <xf numFmtId="0" fontId="2" fillId="8" borderId="0" xfId="0" applyFont="1" applyFill="1" applyBorder="1" applyAlignment="1">
      <alignment horizontal="right" vertical="center"/>
    </xf>
    <xf numFmtId="166" fontId="0" fillId="0" borderId="0" xfId="0" applyNumberFormat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7" xfId="0" applyFill="1" applyBorder="1" applyAlignment="1">
      <alignment vertical="center"/>
    </xf>
    <xf numFmtId="0" fontId="0" fillId="8" borderId="7" xfId="0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168" fontId="0" fillId="0" borderId="7" xfId="0" applyNumberFormat="1" applyFill="1" applyBorder="1" applyAlignment="1">
      <alignment horizontal="center" vertical="center"/>
    </xf>
    <xf numFmtId="166" fontId="0" fillId="0" borderId="7" xfId="0" applyNumberFormat="1" applyFill="1" applyBorder="1" applyAlignment="1">
      <alignment horizontal="center" vertical="center"/>
    </xf>
    <xf numFmtId="167" fontId="0" fillId="0" borderId="7" xfId="0" applyNumberFormat="1" applyFill="1" applyBorder="1" applyAlignment="1">
      <alignment horizontal="center" vertical="center"/>
    </xf>
    <xf numFmtId="166" fontId="0" fillId="0" borderId="6" xfId="0" applyNumberFormat="1" applyFill="1" applyBorder="1" applyAlignment="1">
      <alignment horizontal="center" vertical="center"/>
    </xf>
    <xf numFmtId="0" fontId="2" fillId="22" borderId="27" xfId="0" applyFont="1" applyFill="1" applyBorder="1" applyAlignment="1">
      <alignment horizontal="center" vertical="center"/>
    </xf>
    <xf numFmtId="0" fontId="2" fillId="22" borderId="26" xfId="0" applyFont="1" applyFill="1" applyBorder="1" applyAlignment="1">
      <alignment vertical="center"/>
    </xf>
    <xf numFmtId="0" fontId="2" fillId="22" borderId="26" xfId="0" applyFont="1" applyFill="1" applyBorder="1" applyAlignment="1">
      <alignment horizontal="center" vertical="center"/>
    </xf>
    <xf numFmtId="0" fontId="2" fillId="22" borderId="25" xfId="0" applyFont="1" applyFill="1" applyBorder="1" applyAlignment="1">
      <alignment horizontal="center" vertical="center"/>
    </xf>
    <xf numFmtId="0" fontId="0" fillId="0" borderId="0" xfId="0" applyAlignment="1" applyProtection="1">
      <alignment vertical="center"/>
      <protection locked="0" hidden="1"/>
    </xf>
    <xf numFmtId="0" fontId="2" fillId="3" borderId="19" xfId="0" applyFont="1" applyFill="1" applyBorder="1" applyAlignment="1" applyProtection="1">
      <alignment horizontal="center"/>
    </xf>
    <xf numFmtId="0" fontId="2" fillId="3" borderId="18" xfId="0" applyFont="1" applyFill="1" applyBorder="1" applyAlignment="1" applyProtection="1">
      <alignment horizontal="center"/>
    </xf>
    <xf numFmtId="0" fontId="2" fillId="3" borderId="17" xfId="0" applyFont="1" applyFill="1" applyBorder="1" applyAlignment="1" applyProtection="1">
      <alignment horizontal="center"/>
    </xf>
    <xf numFmtId="166" fontId="0" fillId="4" borderId="7" xfId="0" applyNumberFormat="1" applyFill="1" applyBorder="1" applyAlignment="1" applyProtection="1">
      <alignment horizontal="left"/>
      <protection locked="0"/>
    </xf>
    <xf numFmtId="1" fontId="21" fillId="3" borderId="7" xfId="0" applyNumberFormat="1" applyFont="1" applyFill="1" applyBorder="1" applyAlignment="1" applyProtection="1">
      <alignment horizontal="left"/>
    </xf>
    <xf numFmtId="2" fontId="5" fillId="3" borderId="7" xfId="0" applyNumberFormat="1" applyFont="1" applyFill="1" applyBorder="1" applyAlignment="1" applyProtection="1">
      <alignment horizontal="left"/>
    </xf>
    <xf numFmtId="166" fontId="2" fillId="12" borderId="10" xfId="1" applyNumberFormat="1" applyFont="1" applyFill="1" applyBorder="1" applyAlignment="1" applyProtection="1">
      <alignment horizontal="center" vertical="center"/>
      <protection locked="0"/>
    </xf>
    <xf numFmtId="0" fontId="2" fillId="3" borderId="28" xfId="1" applyFont="1" applyFill="1" applyBorder="1" applyAlignment="1" applyProtection="1">
      <alignment horizontal="center" vertical="center"/>
    </xf>
    <xf numFmtId="2" fontId="2" fillId="3" borderId="9" xfId="1" applyNumberFormat="1" applyFont="1" applyFill="1" applyBorder="1" applyAlignment="1" applyProtection="1">
      <alignment horizontal="center" vertical="center"/>
    </xf>
    <xf numFmtId="166" fontId="2" fillId="12" borderId="8" xfId="1" applyNumberFormat="1" applyFont="1" applyFill="1" applyBorder="1" applyAlignment="1" applyProtection="1">
      <alignment horizontal="center" vertical="center"/>
      <protection locked="0"/>
    </xf>
    <xf numFmtId="2" fontId="2" fillId="3" borderId="6" xfId="1" applyNumberFormat="1" applyFont="1" applyFill="1" applyBorder="1" applyAlignment="1" applyProtection="1">
      <alignment horizontal="center" vertical="center"/>
    </xf>
    <xf numFmtId="0" fontId="0" fillId="24" borderId="26" xfId="1" applyFont="1" applyFill="1" applyBorder="1" applyAlignment="1" applyProtection="1">
      <alignment horizontal="center"/>
    </xf>
    <xf numFmtId="0" fontId="0" fillId="24" borderId="25" xfId="1" applyFont="1" applyFill="1" applyBorder="1" applyAlignment="1" applyProtection="1">
      <alignment horizontal="center" vertical="center"/>
    </xf>
    <xf numFmtId="0" fontId="2" fillId="24" borderId="27" xfId="1" applyFont="1" applyFill="1" applyBorder="1" applyAlignment="1" applyProtection="1">
      <alignment horizontal="center" vertical="center"/>
    </xf>
    <xf numFmtId="0" fontId="2" fillId="24" borderId="25" xfId="1" applyFont="1" applyFill="1" applyBorder="1" applyAlignment="1" applyProtection="1">
      <alignment horizontal="center" vertical="center"/>
    </xf>
    <xf numFmtId="2" fontId="1" fillId="0" borderId="10" xfId="1" applyNumberFormat="1" applyBorder="1" applyAlignment="1" applyProtection="1">
      <alignment horizontal="center"/>
    </xf>
    <xf numFmtId="166" fontId="1" fillId="0" borderId="9" xfId="1" applyNumberFormat="1" applyBorder="1" applyAlignment="1" applyProtection="1">
      <alignment horizontal="center"/>
    </xf>
    <xf numFmtId="2" fontId="1" fillId="0" borderId="8" xfId="1" applyNumberFormat="1" applyBorder="1" applyAlignment="1" applyProtection="1">
      <alignment horizontal="center"/>
    </xf>
    <xf numFmtId="166" fontId="1" fillId="0" borderId="6" xfId="1" applyNumberFormat="1" applyBorder="1" applyAlignment="1" applyProtection="1">
      <alignment horizontal="center"/>
    </xf>
    <xf numFmtId="0" fontId="1" fillId="16" borderId="0" xfId="1" applyFill="1" applyProtection="1"/>
    <xf numFmtId="0" fontId="1" fillId="16" borderId="0" xfId="1" applyFill="1" applyAlignment="1" applyProtection="1">
      <alignment vertical="center"/>
    </xf>
    <xf numFmtId="0" fontId="1" fillId="16" borderId="0" xfId="1" applyFill="1" applyBorder="1" applyAlignment="1" applyProtection="1">
      <alignment vertical="center"/>
    </xf>
    <xf numFmtId="167" fontId="1" fillId="16" borderId="0" xfId="1" applyNumberFormat="1" applyFill="1" applyAlignment="1" applyProtection="1">
      <alignment vertical="center"/>
    </xf>
    <xf numFmtId="2" fontId="2" fillId="3" borderId="10" xfId="1" applyNumberFormat="1" applyFont="1" applyFill="1" applyBorder="1" applyAlignment="1" applyProtection="1">
      <alignment horizontal="center" vertical="center"/>
    </xf>
    <xf numFmtId="2" fontId="2" fillId="3" borderId="8" xfId="1" applyNumberFormat="1" applyFont="1" applyFill="1" applyBorder="1" applyAlignment="1" applyProtection="1">
      <alignment horizontal="center" vertical="center"/>
    </xf>
    <xf numFmtId="0" fontId="0" fillId="6" borderId="1" xfId="0" applyFill="1" applyBorder="1" applyAlignment="1" applyProtection="1">
      <alignment horizontal="center" vertical="center"/>
    </xf>
    <xf numFmtId="2" fontId="0" fillId="4" borderId="0" xfId="0" applyNumberFormat="1" applyFill="1" applyBorder="1" applyAlignment="1" applyProtection="1">
      <alignment horizontal="center"/>
      <protection locked="0"/>
    </xf>
    <xf numFmtId="0" fontId="0" fillId="3" borderId="10" xfId="0" applyFont="1" applyFill="1" applyBorder="1" applyAlignment="1" applyProtection="1">
      <alignment horizontal="right"/>
    </xf>
    <xf numFmtId="164" fontId="2" fillId="18" borderId="0" xfId="0" applyNumberFormat="1" applyFont="1" applyFill="1" applyBorder="1" applyAlignment="1" applyProtection="1">
      <alignment horizontal="left" vertical="center"/>
    </xf>
    <xf numFmtId="0" fontId="2" fillId="18" borderId="0" xfId="0" applyFont="1" applyFill="1" applyBorder="1" applyAlignment="1" applyProtection="1">
      <alignment horizontal="center" vertical="center"/>
    </xf>
    <xf numFmtId="167" fontId="2" fillId="18" borderId="0" xfId="0" applyNumberFormat="1" applyFont="1" applyFill="1" applyBorder="1" applyAlignment="1" applyProtection="1">
      <alignment horizontal="center" vertical="center"/>
    </xf>
    <xf numFmtId="0" fontId="2" fillId="19" borderId="3" xfId="0" applyFont="1" applyFill="1" applyBorder="1" applyAlignment="1" applyProtection="1">
      <alignment horizontal="center" vertical="center"/>
    </xf>
    <xf numFmtId="0" fontId="0" fillId="19" borderId="2" xfId="0" applyFill="1" applyBorder="1" applyAlignment="1">
      <alignment horizontal="right" vertical="center"/>
    </xf>
    <xf numFmtId="166" fontId="2" fillId="18" borderId="2" xfId="0" applyNumberFormat="1" applyFont="1" applyFill="1" applyBorder="1" applyAlignment="1" applyProtection="1">
      <alignment horizontal="center" vertical="center"/>
    </xf>
    <xf numFmtId="0" fontId="0" fillId="19" borderId="1" xfId="0" applyFill="1" applyBorder="1" applyAlignment="1">
      <alignment vertical="center"/>
    </xf>
    <xf numFmtId="0" fontId="0" fillId="26" borderId="8" xfId="0" applyFill="1" applyBorder="1" applyAlignment="1">
      <alignment horizontal="center" vertical="center"/>
    </xf>
    <xf numFmtId="168" fontId="2" fillId="20" borderId="0" xfId="0" applyNumberFormat="1" applyFont="1" applyFill="1" applyBorder="1" applyAlignment="1" applyProtection="1">
      <alignment horizontal="center" vertical="center"/>
      <protection locked="0"/>
    </xf>
    <xf numFmtId="168" fontId="2" fillId="20" borderId="7" xfId="0" applyNumberFormat="1" applyFont="1" applyFill="1" applyBorder="1" applyAlignment="1" applyProtection="1">
      <alignment horizontal="center" vertical="center"/>
      <protection locked="0"/>
    </xf>
    <xf numFmtId="166" fontId="2" fillId="20" borderId="9" xfId="0" applyNumberFormat="1" applyFont="1" applyFill="1" applyBorder="1" applyAlignment="1" applyProtection="1">
      <alignment horizontal="center" vertical="center"/>
      <protection locked="0"/>
    </xf>
    <xf numFmtId="166" fontId="2" fillId="20" borderId="6" xfId="0" applyNumberFormat="1" applyFont="1" applyFill="1" applyBorder="1" applyAlignment="1" applyProtection="1">
      <alignment horizontal="center" vertical="center"/>
      <protection locked="0"/>
    </xf>
    <xf numFmtId="0" fontId="2" fillId="26" borderId="25" xfId="0" applyFont="1" applyFill="1" applyBorder="1" applyAlignment="1">
      <alignment horizontal="center" vertical="center"/>
    </xf>
    <xf numFmtId="2" fontId="2" fillId="11" borderId="0" xfId="0" applyNumberFormat="1" applyFont="1" applyFill="1" applyBorder="1" applyAlignment="1">
      <alignment horizontal="center" vertical="center"/>
    </xf>
    <xf numFmtId="2" fontId="2" fillId="11" borderId="7" xfId="0" applyNumberFormat="1" applyFont="1" applyFill="1" applyBorder="1" applyAlignment="1">
      <alignment horizontal="center" vertical="center"/>
    </xf>
    <xf numFmtId="0" fontId="0" fillId="3" borderId="27" xfId="0" applyFill="1" applyBorder="1" applyAlignment="1" applyProtection="1">
      <alignment horizontal="right"/>
    </xf>
    <xf numFmtId="0" fontId="0" fillId="3" borderId="25" xfId="0" applyFill="1" applyBorder="1" applyProtection="1"/>
    <xf numFmtId="2" fontId="0" fillId="4" borderId="26" xfId="0" applyNumberFormat="1" applyFill="1" applyBorder="1" applyAlignment="1" applyProtection="1">
      <alignment horizontal="left"/>
      <protection locked="0"/>
    </xf>
    <xf numFmtId="0" fontId="0" fillId="8" borderId="22" xfId="1" applyFont="1" applyFill="1" applyBorder="1" applyAlignment="1" applyProtection="1">
      <alignment horizontal="right" vertical="center"/>
    </xf>
    <xf numFmtId="0" fontId="0" fillId="8" borderId="20" xfId="1" applyFont="1" applyFill="1" applyBorder="1" applyAlignment="1" applyProtection="1">
      <alignment vertical="center"/>
    </xf>
    <xf numFmtId="0" fontId="0" fillId="8" borderId="8" xfId="1" applyFont="1" applyFill="1" applyBorder="1" applyAlignment="1" applyProtection="1">
      <alignment horizontal="right" vertical="center"/>
    </xf>
    <xf numFmtId="0" fontId="0" fillId="8" borderId="6" xfId="1" applyFont="1" applyFill="1" applyBorder="1" applyAlignment="1" applyProtection="1">
      <alignment vertical="center"/>
    </xf>
    <xf numFmtId="0" fontId="1" fillId="8" borderId="22" xfId="1" applyFill="1" applyBorder="1" applyAlignment="1" applyProtection="1">
      <alignment horizontal="center" vertical="center"/>
    </xf>
    <xf numFmtId="0" fontId="1" fillId="8" borderId="21" xfId="1" applyFill="1" applyBorder="1" applyAlignment="1" applyProtection="1">
      <alignment horizontal="center" vertical="center"/>
    </xf>
    <xf numFmtId="0" fontId="1" fillId="8" borderId="8" xfId="1" applyFill="1" applyBorder="1" applyAlignment="1" applyProtection="1">
      <alignment horizontal="center" vertical="center"/>
    </xf>
    <xf numFmtId="0" fontId="1" fillId="8" borderId="7" xfId="1" applyFill="1" applyBorder="1" applyAlignment="1" applyProtection="1">
      <alignment horizontal="center" vertical="center"/>
    </xf>
    <xf numFmtId="167" fontId="18" fillId="12" borderId="6" xfId="1" applyNumberFormat="1" applyFont="1" applyFill="1" applyBorder="1" applyAlignment="1" applyProtection="1">
      <alignment horizontal="center" vertical="center"/>
      <protection locked="0"/>
    </xf>
    <xf numFmtId="168" fontId="2" fillId="12" borderId="10" xfId="1" applyNumberFormat="1" applyFont="1" applyFill="1" applyBorder="1" applyAlignment="1" applyProtection="1">
      <alignment horizontal="center" vertical="center"/>
      <protection locked="0"/>
    </xf>
    <xf numFmtId="2" fontId="1" fillId="8" borderId="21" xfId="1" applyNumberFormat="1" applyFill="1" applyBorder="1" applyAlignment="1" applyProtection="1">
      <alignment horizontal="left" vertical="center"/>
    </xf>
    <xf numFmtId="2" fontId="1" fillId="8" borderId="7" xfId="1" applyNumberFormat="1" applyFill="1" applyBorder="1" applyAlignment="1" applyProtection="1">
      <alignment horizontal="left" vertical="center"/>
    </xf>
    <xf numFmtId="0" fontId="0" fillId="8" borderId="21" xfId="1" applyFont="1" applyFill="1" applyBorder="1" applyAlignment="1" applyProtection="1">
      <alignment horizontal="right" vertical="center"/>
    </xf>
    <xf numFmtId="0" fontId="0" fillId="8" borderId="7" xfId="1" applyFont="1" applyFill="1" applyBorder="1" applyAlignment="1" applyProtection="1">
      <alignment horizontal="right" vertical="center"/>
    </xf>
    <xf numFmtId="0" fontId="2" fillId="19" borderId="26" xfId="1" applyFont="1" applyFill="1" applyBorder="1" applyAlignment="1" applyProtection="1">
      <alignment horizontal="center" vertical="center"/>
    </xf>
    <xf numFmtId="0" fontId="2" fillId="19" borderId="25" xfId="1" applyFont="1" applyFill="1" applyBorder="1" applyAlignment="1" applyProtection="1">
      <alignment horizontal="center" vertical="center"/>
    </xf>
    <xf numFmtId="2" fontId="1" fillId="19" borderId="0" xfId="1" applyNumberFormat="1" applyFill="1" applyBorder="1" applyAlignment="1" applyProtection="1">
      <alignment horizontal="center" vertical="center"/>
    </xf>
    <xf numFmtId="2" fontId="1" fillId="19" borderId="9" xfId="1" applyNumberFormat="1" applyFill="1" applyBorder="1" applyAlignment="1" applyProtection="1">
      <alignment horizontal="center" vertical="center"/>
    </xf>
    <xf numFmtId="2" fontId="1" fillId="19" borderId="7" xfId="1" applyNumberFormat="1" applyFill="1" applyBorder="1" applyAlignment="1" applyProtection="1">
      <alignment horizontal="center" vertical="center"/>
    </xf>
    <xf numFmtId="2" fontId="1" fillId="19" borderId="6" xfId="1" applyNumberFormat="1" applyFill="1" applyBorder="1" applyAlignment="1" applyProtection="1">
      <alignment horizontal="center" vertical="center"/>
    </xf>
    <xf numFmtId="167" fontId="18" fillId="12" borderId="20" xfId="1" applyNumberFormat="1" applyFont="1" applyFill="1" applyBorder="1" applyAlignment="1" applyProtection="1">
      <alignment horizontal="center" vertical="center"/>
      <protection locked="0"/>
    </xf>
    <xf numFmtId="168" fontId="2" fillId="12" borderId="8" xfId="1" applyNumberFormat="1" applyFont="1" applyFill="1" applyBorder="1" applyAlignment="1" applyProtection="1">
      <alignment horizontal="center" vertical="center"/>
      <protection locked="0"/>
    </xf>
    <xf numFmtId="2" fontId="1" fillId="3" borderId="10" xfId="1" applyNumberFormat="1" applyFont="1" applyFill="1" applyBorder="1" applyAlignment="1" applyProtection="1">
      <alignment horizontal="center" vertical="center"/>
    </xf>
    <xf numFmtId="2" fontId="1" fillId="3" borderId="9" xfId="1" applyNumberFormat="1" applyFont="1" applyFill="1" applyBorder="1" applyAlignment="1" applyProtection="1">
      <alignment horizontal="center" vertical="center"/>
    </xf>
    <xf numFmtId="0" fontId="2" fillId="19" borderId="27" xfId="1" applyFont="1" applyFill="1" applyBorder="1" applyAlignment="1" applyProtection="1">
      <alignment horizontal="center" vertical="center"/>
    </xf>
    <xf numFmtId="0" fontId="2" fillId="19" borderId="22" xfId="1" applyFont="1" applyFill="1" applyBorder="1" applyAlignment="1" applyProtection="1">
      <alignment horizontal="center" vertical="center"/>
    </xf>
    <xf numFmtId="0" fontId="2" fillId="19" borderId="20" xfId="1" applyFont="1" applyFill="1" applyBorder="1" applyAlignment="1" applyProtection="1">
      <alignment horizontal="center" vertical="center"/>
    </xf>
    <xf numFmtId="0" fontId="2" fillId="19" borderId="10" xfId="1" applyFont="1" applyFill="1" applyBorder="1" applyAlignment="1" applyProtection="1">
      <alignment horizontal="center" vertical="center"/>
    </xf>
    <xf numFmtId="0" fontId="2" fillId="19" borderId="9" xfId="1" applyFont="1" applyFill="1" applyBorder="1" applyAlignment="1" applyProtection="1">
      <alignment horizontal="center" vertical="center"/>
    </xf>
    <xf numFmtId="0" fontId="2" fillId="19" borderId="8" xfId="1" applyFont="1" applyFill="1" applyBorder="1" applyAlignment="1" applyProtection="1">
      <alignment horizontal="center" vertical="center"/>
    </xf>
    <xf numFmtId="0" fontId="2" fillId="19" borderId="6" xfId="1" applyFont="1" applyFill="1" applyBorder="1" applyAlignment="1" applyProtection="1">
      <alignment horizontal="center" vertical="center"/>
    </xf>
    <xf numFmtId="2" fontId="0" fillId="0" borderId="0" xfId="0" applyNumberFormat="1" applyBorder="1" applyAlignment="1" applyProtection="1">
      <alignment horizontal="center"/>
    </xf>
    <xf numFmtId="166" fontId="0" fillId="0" borderId="2" xfId="0" applyNumberFormat="1" applyBorder="1" applyAlignment="1" applyProtection="1">
      <alignment horizontal="center" vertical="center"/>
    </xf>
    <xf numFmtId="1" fontId="0" fillId="4" borderId="0" xfId="0" applyNumberFormat="1" applyFill="1" applyBorder="1" applyAlignment="1" applyProtection="1">
      <alignment horizontal="center" vertical="center"/>
    </xf>
    <xf numFmtId="166" fontId="0" fillId="4" borderId="0" xfId="0" applyNumberFormat="1" applyFill="1" applyBorder="1" applyAlignment="1" applyProtection="1">
      <alignment horizontal="center" vertical="center"/>
    </xf>
    <xf numFmtId="166" fontId="0" fillId="4" borderId="9" xfId="0" applyNumberFormat="1" applyFill="1" applyBorder="1" applyAlignment="1" applyProtection="1">
      <alignment horizontal="center" vertical="center"/>
    </xf>
    <xf numFmtId="1" fontId="0" fillId="4" borderId="7" xfId="0" applyNumberFormat="1" applyFill="1" applyBorder="1" applyAlignment="1" applyProtection="1">
      <alignment horizontal="center" vertical="center"/>
    </xf>
    <xf numFmtId="166" fontId="0" fillId="4" borderId="7" xfId="0" applyNumberFormat="1" applyFill="1" applyBorder="1" applyAlignment="1" applyProtection="1">
      <alignment horizontal="center" vertical="center"/>
    </xf>
    <xf numFmtId="166" fontId="0" fillId="4" borderId="6" xfId="0" applyNumberFormat="1" applyFill="1" applyBorder="1" applyAlignment="1" applyProtection="1">
      <alignment horizontal="center" vertical="center"/>
    </xf>
    <xf numFmtId="2" fontId="1" fillId="3" borderId="8" xfId="1" applyNumberFormat="1" applyFont="1" applyFill="1" applyBorder="1" applyAlignment="1" applyProtection="1">
      <alignment horizontal="center" vertical="center"/>
    </xf>
    <xf numFmtId="2" fontId="1" fillId="3" borderId="6" xfId="1" applyNumberFormat="1" applyFont="1" applyFill="1" applyBorder="1" applyAlignment="1" applyProtection="1">
      <alignment horizontal="center" vertical="center"/>
    </xf>
    <xf numFmtId="0" fontId="7" fillId="11" borderId="15" xfId="0" applyFont="1" applyFill="1" applyBorder="1" applyAlignment="1" applyProtection="1">
      <alignment horizontal="center" vertical="center"/>
    </xf>
    <xf numFmtId="0" fontId="2" fillId="10" borderId="19" xfId="0" applyFont="1" applyFill="1" applyBorder="1" applyAlignment="1" applyProtection="1">
      <alignment horizontal="center"/>
    </xf>
    <xf numFmtId="0" fontId="2" fillId="10" borderId="18" xfId="0" applyFont="1" applyFill="1" applyBorder="1" applyAlignment="1" applyProtection="1">
      <alignment horizontal="center"/>
    </xf>
    <xf numFmtId="0" fontId="2" fillId="10" borderId="17" xfId="0" applyFont="1" applyFill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 vertical="center"/>
    </xf>
    <xf numFmtId="0" fontId="6" fillId="11" borderId="15" xfId="0" applyFont="1" applyFill="1" applyBorder="1" applyAlignment="1" applyProtection="1">
      <alignment horizontal="center" vertical="center"/>
    </xf>
    <xf numFmtId="0" fontId="1" fillId="0" borderId="16" xfId="0" applyFont="1" applyBorder="1" applyAlignment="1" applyProtection="1">
      <alignment horizontal="center" vertical="center"/>
    </xf>
    <xf numFmtId="0" fontId="1" fillId="0" borderId="15" xfId="0" applyFont="1" applyBorder="1" applyAlignment="1" applyProtection="1">
      <alignment horizontal="center" vertical="center"/>
    </xf>
    <xf numFmtId="0" fontId="1" fillId="0" borderId="14" xfId="0" applyFont="1" applyBorder="1" applyAlignment="1" applyProtection="1">
      <alignment horizontal="center" vertical="center"/>
    </xf>
    <xf numFmtId="0" fontId="2" fillId="3" borderId="19" xfId="0" applyFont="1" applyFill="1" applyBorder="1" applyAlignment="1" applyProtection="1">
      <alignment horizontal="center"/>
    </xf>
    <xf numFmtId="0" fontId="2" fillId="3" borderId="18" xfId="0" applyFont="1" applyFill="1" applyBorder="1" applyAlignment="1" applyProtection="1">
      <alignment horizontal="center"/>
    </xf>
    <xf numFmtId="0" fontId="2" fillId="3" borderId="17" xfId="0" applyFont="1" applyFill="1" applyBorder="1" applyAlignment="1" applyProtection="1">
      <alignment horizontal="center"/>
    </xf>
    <xf numFmtId="0" fontId="2" fillId="23" borderId="7" xfId="0" applyFont="1" applyFill="1" applyBorder="1" applyAlignment="1" applyProtection="1">
      <alignment horizontal="center" vertical="center"/>
    </xf>
    <xf numFmtId="0" fontId="2" fillId="20" borderId="22" xfId="1" applyFont="1" applyFill="1" applyBorder="1" applyAlignment="1" applyProtection="1">
      <alignment horizontal="center" vertical="center"/>
    </xf>
    <xf numFmtId="0" fontId="2" fillId="20" borderId="21" xfId="1" applyFont="1" applyFill="1" applyBorder="1" applyAlignment="1" applyProtection="1">
      <alignment horizontal="center" vertical="center"/>
    </xf>
    <xf numFmtId="0" fontId="2" fillId="20" borderId="20" xfId="1" applyFont="1" applyFill="1" applyBorder="1" applyAlignment="1" applyProtection="1">
      <alignment horizontal="center" vertical="center"/>
    </xf>
    <xf numFmtId="0" fontId="2" fillId="21" borderId="16" xfId="0" applyFont="1" applyFill="1" applyBorder="1" applyAlignment="1">
      <alignment horizontal="center" vertical="center"/>
    </xf>
    <xf numFmtId="0" fontId="2" fillId="21" borderId="15" xfId="0" applyFont="1" applyFill="1" applyBorder="1" applyAlignment="1">
      <alignment horizontal="center" vertical="center"/>
    </xf>
    <xf numFmtId="0" fontId="2" fillId="21" borderId="14" xfId="0" applyFont="1" applyFill="1" applyBorder="1" applyAlignment="1">
      <alignment horizontal="center" vertical="center"/>
    </xf>
    <xf numFmtId="0" fontId="2" fillId="12" borderId="0" xfId="1" applyFont="1" applyFill="1" applyAlignment="1" applyProtection="1">
      <alignment horizontal="center" vertical="center"/>
    </xf>
    <xf numFmtId="0" fontId="17" fillId="14" borderId="34" xfId="1" applyFont="1" applyFill="1" applyBorder="1" applyAlignment="1" applyProtection="1">
      <alignment horizontal="center" vertical="center"/>
    </xf>
    <xf numFmtId="0" fontId="17" fillId="14" borderId="33" xfId="1" applyFont="1" applyFill="1" applyBorder="1" applyAlignment="1" applyProtection="1">
      <alignment horizontal="center" vertical="center"/>
    </xf>
    <xf numFmtId="0" fontId="10" fillId="15" borderId="22" xfId="1" applyFont="1" applyFill="1" applyBorder="1" applyAlignment="1" applyProtection="1">
      <alignment horizontal="center" vertical="center"/>
    </xf>
    <xf numFmtId="0" fontId="10" fillId="15" borderId="20" xfId="1" applyFont="1" applyFill="1" applyBorder="1" applyAlignment="1" applyProtection="1">
      <alignment horizontal="center" vertical="center"/>
    </xf>
    <xf numFmtId="0" fontId="11" fillId="14" borderId="27" xfId="1" applyFont="1" applyFill="1" applyBorder="1" applyAlignment="1" applyProtection="1">
      <alignment horizontal="center" vertical="center"/>
    </xf>
    <xf numFmtId="0" fontId="11" fillId="14" borderId="26" xfId="1" applyFont="1" applyFill="1" applyBorder="1" applyAlignment="1" applyProtection="1">
      <alignment horizontal="center" vertical="center"/>
    </xf>
    <xf numFmtId="0" fontId="11" fillId="14" borderId="25" xfId="1" applyFont="1" applyFill="1" applyBorder="1" applyAlignment="1" applyProtection="1">
      <alignment horizontal="center" vertical="center"/>
    </xf>
    <xf numFmtId="0" fontId="11" fillId="3" borderId="27" xfId="1" applyFont="1" applyFill="1" applyBorder="1" applyAlignment="1" applyProtection="1">
      <alignment horizontal="center" vertical="center"/>
    </xf>
    <xf numFmtId="0" fontId="11" fillId="3" borderId="26" xfId="1" applyFont="1" applyFill="1" applyBorder="1" applyAlignment="1" applyProtection="1">
      <alignment horizontal="center" vertical="center"/>
    </xf>
    <xf numFmtId="0" fontId="11" fillId="3" borderId="25" xfId="1" applyFont="1" applyFill="1" applyBorder="1" applyAlignment="1" applyProtection="1">
      <alignment horizontal="center" vertical="center"/>
    </xf>
    <xf numFmtId="0" fontId="2" fillId="4" borderId="27" xfId="1" applyFont="1" applyFill="1" applyBorder="1" applyAlignment="1" applyProtection="1">
      <alignment horizontal="center" vertical="center"/>
    </xf>
    <xf numFmtId="0" fontId="2" fillId="4" borderId="25" xfId="1" applyFont="1" applyFill="1" applyBorder="1" applyAlignment="1" applyProtection="1">
      <alignment horizontal="center" vertical="center"/>
    </xf>
    <xf numFmtId="0" fontId="2" fillId="4" borderId="21" xfId="1" applyFont="1" applyFill="1" applyBorder="1" applyAlignment="1" applyProtection="1">
      <alignment horizontal="center" vertical="center"/>
    </xf>
    <xf numFmtId="0" fontId="2" fillId="4" borderId="20" xfId="1" applyFont="1" applyFill="1" applyBorder="1" applyAlignment="1" applyProtection="1">
      <alignment horizontal="center" vertical="center"/>
    </xf>
    <xf numFmtId="0" fontId="11" fillId="14" borderId="22" xfId="1" applyFont="1" applyFill="1" applyBorder="1" applyAlignment="1" applyProtection="1">
      <alignment horizontal="center" vertical="center"/>
    </xf>
    <xf numFmtId="0" fontId="11" fillId="14" borderId="20" xfId="1" applyFont="1" applyFill="1" applyBorder="1" applyAlignment="1" applyProtection="1">
      <alignment horizontal="center" vertical="center"/>
    </xf>
    <xf numFmtId="0" fontId="2" fillId="3" borderId="27" xfId="1" applyFont="1" applyFill="1" applyBorder="1" applyAlignment="1" applyProtection="1">
      <alignment horizontal="center" vertical="center"/>
    </xf>
    <xf numFmtId="0" fontId="2" fillId="3" borderId="25" xfId="1" applyFont="1" applyFill="1" applyBorder="1" applyAlignment="1" applyProtection="1">
      <alignment horizontal="center" vertical="center"/>
    </xf>
    <xf numFmtId="0" fontId="22" fillId="25" borderId="0" xfId="1" applyFont="1" applyFill="1" applyAlignment="1" applyProtection="1">
      <alignment horizontal="center" vertical="center"/>
    </xf>
    <xf numFmtId="0" fontId="11" fillId="3" borderId="22" xfId="1" applyFont="1" applyFill="1" applyBorder="1" applyAlignment="1" applyProtection="1">
      <alignment horizontal="center" vertical="center"/>
    </xf>
    <xf numFmtId="0" fontId="11" fillId="3" borderId="21" xfId="1" applyFont="1" applyFill="1" applyBorder="1" applyAlignment="1" applyProtection="1">
      <alignment horizontal="center" vertical="center"/>
    </xf>
    <xf numFmtId="0" fontId="11" fillId="3" borderId="20" xfId="1" applyFont="1" applyFill="1" applyBorder="1" applyAlignment="1" applyProtection="1">
      <alignment horizontal="center" vertical="center"/>
    </xf>
    <xf numFmtId="0" fontId="11" fillId="14" borderId="21" xfId="1" applyFont="1" applyFill="1" applyBorder="1" applyAlignment="1" applyProtection="1">
      <alignment horizontal="center" vertical="center"/>
    </xf>
    <xf numFmtId="0" fontId="0" fillId="0" borderId="5" xfId="0" applyFont="1" applyBorder="1" applyAlignment="1" applyProtection="1">
      <alignment horizontal="center" vertical="center"/>
    </xf>
    <xf numFmtId="0" fontId="0" fillId="0" borderId="3" xfId="0" applyFont="1" applyBorder="1" applyAlignment="1" applyProtection="1">
      <alignment horizontal="center" vertical="center"/>
    </xf>
    <xf numFmtId="0" fontId="0" fillId="0" borderId="0" xfId="0" applyFont="1" applyAlignment="1" applyProtection="1">
      <alignment horizontal="left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dE-calibration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476268591426072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parameters!$S$19:$S$26</c:f>
              <c:numCache>
                <c:formatCode>0.0</c:formatCode>
                <c:ptCount val="8"/>
                <c:pt idx="0">
                  <c:v>313.67</c:v>
                </c:pt>
                <c:pt idx="1">
                  <c:v>237.17</c:v>
                </c:pt>
                <c:pt idx="2">
                  <c:v>1108.3499999999999</c:v>
                </c:pt>
                <c:pt idx="3">
                  <c:v>1160.29</c:v>
                </c:pt>
                <c:pt idx="4">
                  <c:v>1437.6020000000001</c:v>
                </c:pt>
                <c:pt idx="5">
                  <c:v>2642.3389999999999</c:v>
                </c:pt>
              </c:numCache>
            </c:numRef>
          </c:xVal>
          <c:yVal>
            <c:numRef>
              <c:f>parameters!$AK$19:$AK$26</c:f>
              <c:numCache>
                <c:formatCode>0.00</c:formatCode>
                <c:ptCount val="8"/>
                <c:pt idx="0">
                  <c:v>46.967119574641174</c:v>
                </c:pt>
                <c:pt idx="1">
                  <c:v>37.612795057107689</c:v>
                </c:pt>
                <c:pt idx="2">
                  <c:v>139.02540885382069</c:v>
                </c:pt>
                <c:pt idx="3">
                  <c:v>144.80897641643685</c:v>
                </c:pt>
                <c:pt idx="4">
                  <c:v>176.32288788511966</c:v>
                </c:pt>
                <c:pt idx="5">
                  <c:v>314.26162990862997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5E-480B-A9CB-C21FE8E1A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14640"/>
        <c:axId val="245813464"/>
      </c:scatterChart>
      <c:valAx>
        <c:axId val="24581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PIN-E, channels</a:t>
                </a:r>
              </a:p>
            </c:rich>
          </c:tx>
          <c:layout>
            <c:manualLayout>
              <c:xMode val="edge"/>
              <c:yMode val="edge"/>
              <c:x val="0.41056124234470692"/>
              <c:y val="0.9110877806940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13464"/>
        <c:crosses val="autoZero"/>
        <c:crossBetween val="midCat"/>
      </c:valAx>
      <c:valAx>
        <c:axId val="24581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dE. MeV</a:t>
                </a:r>
              </a:p>
            </c:rich>
          </c:tx>
          <c:layout>
            <c:manualLayout>
              <c:xMode val="edge"/>
              <c:yMode val="edge"/>
              <c:x val="1.5047018972276756E-2"/>
              <c:y val="0.39018919510061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1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RF1-calibration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RF1-tof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37598974402905"/>
                  <c:y val="0.434358602679926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parameters!$AD$19:$AD$26</c:f>
              <c:numCache>
                <c:formatCode>0.0</c:formatCode>
                <c:ptCount val="8"/>
                <c:pt idx="0">
                  <c:v>19.25</c:v>
                </c:pt>
                <c:pt idx="1">
                  <c:v>51.45</c:v>
                </c:pt>
                <c:pt idx="2">
                  <c:v>25.76</c:v>
                </c:pt>
                <c:pt idx="3">
                  <c:v>19.62</c:v>
                </c:pt>
                <c:pt idx="4">
                  <c:v>30.408999999999999</c:v>
                </c:pt>
                <c:pt idx="5">
                  <c:v>26.085570000000001</c:v>
                </c:pt>
              </c:numCache>
            </c:numRef>
          </c:xVal>
          <c:yVal>
            <c:numRef>
              <c:f>parameters!$Y$19:$Y$26</c:f>
              <c:numCache>
                <c:formatCode>0.0</c:formatCode>
                <c:ptCount val="8"/>
                <c:pt idx="0">
                  <c:v>278.2944338672072</c:v>
                </c:pt>
                <c:pt idx="1">
                  <c:v>244.57357476665791</c:v>
                </c:pt>
                <c:pt idx="2">
                  <c:v>271.6134099397209</c:v>
                </c:pt>
                <c:pt idx="3">
                  <c:v>278.14756839621617</c:v>
                </c:pt>
                <c:pt idx="4">
                  <c:v>266.74120802130716</c:v>
                </c:pt>
                <c:pt idx="5">
                  <c:v>271.55183570585427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98F-4ED5-B53D-1C83D9DD8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15032"/>
        <c:axId val="249892824"/>
      </c:scatterChart>
      <c:valAx>
        <c:axId val="24581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TOF-RF1*, channels</a:t>
                </a:r>
              </a:p>
            </c:rich>
          </c:tx>
          <c:layout>
            <c:manualLayout>
              <c:xMode val="edge"/>
              <c:yMode val="edge"/>
              <c:x val="0.41056124234470692"/>
              <c:y val="0.9110877806940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92824"/>
        <c:crosses val="autoZero"/>
        <c:crossBetween val="midCat"/>
      </c:valAx>
      <c:valAx>
        <c:axId val="24989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ToF-RF1, ns</a:t>
                </a:r>
              </a:p>
            </c:rich>
          </c:tx>
          <c:layout>
            <c:manualLayout>
              <c:xMode val="edge"/>
              <c:yMode val="edge"/>
              <c:x val="7.5235094861383781E-3"/>
              <c:y val="0.351543088363954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15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RF2-calibration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tof-rf2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712297442836134"/>
                  <c:y val="-0.485910615339749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parameters!$AH$19:$AH$26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parameters!$Y$19:$Y$26</c:f>
              <c:numCache>
                <c:formatCode>0.0</c:formatCode>
                <c:ptCount val="8"/>
                <c:pt idx="0">
                  <c:v>278.2944338672072</c:v>
                </c:pt>
                <c:pt idx="1">
                  <c:v>244.57357476665791</c:v>
                </c:pt>
                <c:pt idx="2">
                  <c:v>271.6134099397209</c:v>
                </c:pt>
                <c:pt idx="3">
                  <c:v>278.14756839621617</c:v>
                </c:pt>
                <c:pt idx="4">
                  <c:v>266.74120802130716</c:v>
                </c:pt>
                <c:pt idx="5">
                  <c:v>271.55183570585427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13-4AD5-9FD6-9B1781F43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93608"/>
        <c:axId val="249894000"/>
      </c:scatterChart>
      <c:valAx>
        <c:axId val="24989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TOF-RF2*, channels</a:t>
                </a:r>
              </a:p>
            </c:rich>
          </c:tx>
          <c:layout>
            <c:manualLayout>
              <c:xMode val="edge"/>
              <c:yMode val="edge"/>
              <c:x val="0.41056124234470692"/>
              <c:y val="0.9110877806940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94000"/>
        <c:crosses val="autoZero"/>
        <c:crossBetween val="midCat"/>
      </c:valAx>
      <c:valAx>
        <c:axId val="24989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ToF-RF2, ns</a:t>
                </a:r>
              </a:p>
            </c:rich>
          </c:tx>
          <c:layout>
            <c:manualLayout>
              <c:xMode val="edge"/>
              <c:yMode val="edge"/>
              <c:x val="1.8808773715345947E-2"/>
              <c:y val="0.351543088363954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93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Esci-calibration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Esci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476268591426072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parameters!$T$19:$T$26</c:f>
              <c:numCache>
                <c:formatCode>0.0</c:formatCode>
                <c:ptCount val="8"/>
              </c:numCache>
            </c:numRef>
          </c:xVal>
          <c:yVal>
            <c:numRef>
              <c:f>parameters!$AN$19:$AN$26</c:f>
              <c:numCache>
                <c:formatCode>0.0</c:formatCode>
                <c:ptCount val="8"/>
                <c:pt idx="0">
                  <c:v>1907.2800000000002</c:v>
                </c:pt>
                <c:pt idx="1">
                  <c:v>2222.2570000000001</c:v>
                </c:pt>
                <c:pt idx="2">
                  <c:v>3377.1859999999997</c:v>
                </c:pt>
                <c:pt idx="3">
                  <c:v>3279.3249999999998</c:v>
                </c:pt>
                <c:pt idx="4">
                  <c:v>3924.5640000000003</c:v>
                </c:pt>
                <c:pt idx="5">
                  <c:v>4962.8610000000008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D5-4F16-84D5-685236556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170672"/>
        <c:axId val="246171064"/>
      </c:scatterChart>
      <c:valAx>
        <c:axId val="24617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Sci-E, channels</a:t>
                </a:r>
              </a:p>
            </c:rich>
          </c:tx>
          <c:layout>
            <c:manualLayout>
              <c:xMode val="edge"/>
              <c:yMode val="edge"/>
              <c:x val="0.41056124234470692"/>
              <c:y val="0.9110877806940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71064"/>
        <c:crosses val="autoZero"/>
        <c:crossBetween val="midCat"/>
      </c:valAx>
      <c:valAx>
        <c:axId val="24617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Esci. MeV</a:t>
                </a:r>
              </a:p>
            </c:rich>
          </c:tx>
          <c:layout>
            <c:manualLayout>
              <c:xMode val="edge"/>
              <c:yMode val="edge"/>
              <c:x val="1.5047018972276756E-2"/>
              <c:y val="0.39018919510061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7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Z-calibration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7715566332892668E-2"/>
                  <c:y val="-2.19020074784461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parameters!$AQ$19:$AQ$26</c:f>
              <c:numCache>
                <c:formatCode>0.0</c:formatCode>
                <c:ptCount val="8"/>
                <c:pt idx="0">
                  <c:v>1.1018866683887465</c:v>
                </c:pt>
                <c:pt idx="1">
                  <c:v>1.1008073923192283</c:v>
                </c:pt>
                <c:pt idx="2">
                  <c:v>1.9354146656981479</c:v>
                </c:pt>
                <c:pt idx="3">
                  <c:v>1.9356769801256679</c:v>
                </c:pt>
                <c:pt idx="4">
                  <c:v>2.2134936568347543</c:v>
                </c:pt>
                <c:pt idx="5">
                  <c:v>2.9104255027264587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parameters!$O$19:$O$26</c:f>
              <c:numCache>
                <c:formatCode>0</c:formatCode>
                <c:ptCount val="8"/>
                <c:pt idx="0">
                  <c:v>8</c:v>
                </c:pt>
                <c:pt idx="1">
                  <c:v>8</c:v>
                </c:pt>
                <c:pt idx="2">
                  <c:v>14</c:v>
                </c:pt>
                <c:pt idx="3">
                  <c:v>14</c:v>
                </c:pt>
                <c:pt idx="4">
                  <c:v>16</c:v>
                </c:pt>
                <c:pt idx="5">
                  <c:v>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3D7-465A-96D7-A29865A50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171848"/>
        <c:axId val="246172240"/>
      </c:scatterChart>
      <c:valAx>
        <c:axId val="246171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</a:t>
                </a:r>
                <a:r>
                  <a:rPr lang="en-US" baseline="0"/>
                  <a:t> </a:t>
                </a:r>
                <a:r>
                  <a:rPr lang="en-US"/>
                  <a:t>special</a:t>
                </a:r>
                <a:r>
                  <a:rPr lang="en-US" baseline="0"/>
                  <a:t> function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056124234470692"/>
              <c:y val="0.9110877806940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72240"/>
        <c:crosses val="autoZero"/>
        <c:crossBetween val="midCat"/>
      </c:valAx>
      <c:valAx>
        <c:axId val="24617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. MeV</a:t>
                </a:r>
              </a:p>
            </c:rich>
          </c:tx>
          <c:layout>
            <c:manualLayout>
              <c:xMode val="edge"/>
              <c:yMode val="edge"/>
              <c:x val="1.5047018972276756E-2"/>
              <c:y val="0.39018919510061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71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$AV$7" lockText="1" noThreeD="1"/>
</file>

<file path=xl/ctrlProps/ctrlProp2.xml><?xml version="1.0" encoding="utf-8"?>
<formControlPr xmlns="http://schemas.microsoft.com/office/spreadsheetml/2009/9/main" objectType="CheckBox" fmlaLink="$AV$8" lockText="1" noThreeD="1"/>
</file>

<file path=xl/ctrlProps/ctrlProp3.xml><?xml version="1.0" encoding="utf-8"?>
<formControlPr xmlns="http://schemas.microsoft.com/office/spreadsheetml/2009/9/main" objectType="CheckBox" checked="Checked" fmlaLink="$AV$9" lockText="1" noThreeD="1"/>
</file>

<file path=xl/ctrlProps/ctrlProp4.xml><?xml version="1.0" encoding="utf-8"?>
<formControlPr xmlns="http://schemas.microsoft.com/office/spreadsheetml/2009/9/main" objectType="CheckBox" fmlaLink="$AV$10" lockText="1" noThreeD="1"/>
</file>

<file path=xl/ctrlProps/ctrlProp5.xml><?xml version="1.0" encoding="utf-8"?>
<formControlPr xmlns="http://schemas.microsoft.com/office/spreadsheetml/2009/9/main" objectType="CheckBox" checked="Checked" fmlaLink="$AV$11" lockText="1" noThreeD="1"/>
</file>

<file path=xl/ctrlProps/ctrlProp6.xml><?xml version="1.0" encoding="utf-8"?>
<formControlPr xmlns="http://schemas.microsoft.com/office/spreadsheetml/2009/9/main" objectType="Radio" firstButton="1" fmlaLink="$P$2" lockText="1" noThreeD="1"/>
</file>

<file path=xl/ctrlProps/ctrlProp7.xml><?xml version="1.0" encoding="utf-8"?>
<formControlPr xmlns="http://schemas.microsoft.com/office/spreadsheetml/2009/9/main" objectType="Radio" checked="Checked" lockText="1" noThreeD="1"/>
</file>

<file path=xl/ctrlProps/ctrlProp8.xml><?xml version="1.0" encoding="utf-8"?>
<formControlPr xmlns="http://schemas.microsoft.com/office/spreadsheetml/2009/9/main" objectType="GBox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ustomXml" Target="../ink/ink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20077</xdr:colOff>
      <xdr:row>13</xdr:row>
      <xdr:rowOff>87312</xdr:rowOff>
    </xdr:from>
    <xdr:ext cx="262636" cy="280205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068077" y="2563812"/>
          <a:ext cx="262636" cy="28020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>
              <a:solidFill>
                <a:srgbClr val="C00000"/>
              </a:solidFill>
            </a:rPr>
            <a:t>2</a:t>
          </a:r>
        </a:p>
      </xdr:txBody>
    </xdr:sp>
    <xdr:clientData/>
  </xdr:oneCellAnchor>
  <xdr:oneCellAnchor>
    <xdr:from>
      <xdr:col>6</xdr:col>
      <xdr:colOff>22287</xdr:colOff>
      <xdr:row>17</xdr:row>
      <xdr:rowOff>67733</xdr:rowOff>
    </xdr:from>
    <xdr:ext cx="262636" cy="280205"/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070287" y="3373468"/>
          <a:ext cx="262636" cy="28020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>
              <a:solidFill>
                <a:srgbClr val="C00000"/>
              </a:solidFill>
            </a:rPr>
            <a:t>3</a:t>
          </a:r>
        </a:p>
      </xdr:txBody>
    </xdr:sp>
    <xdr:clientData/>
  </xdr:oneCellAnchor>
  <xdr:oneCellAnchor>
    <xdr:from>
      <xdr:col>12</xdr:col>
      <xdr:colOff>222250</xdr:colOff>
      <xdr:row>3</xdr:row>
      <xdr:rowOff>148166</xdr:rowOff>
    </xdr:from>
    <xdr:ext cx="262636" cy="280205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7537450" y="633941"/>
          <a:ext cx="262636" cy="28020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>
              <a:solidFill>
                <a:srgbClr val="C00000"/>
              </a:solidFill>
            </a:rPr>
            <a:t>4</a:t>
          </a:r>
        </a:p>
      </xdr:txBody>
    </xdr:sp>
    <xdr:clientData/>
  </xdr:oneCellAnchor>
  <xdr:oneCellAnchor>
    <xdr:from>
      <xdr:col>10</xdr:col>
      <xdr:colOff>201393</xdr:colOff>
      <xdr:row>10</xdr:row>
      <xdr:rowOff>120650</xdr:rowOff>
    </xdr:from>
    <xdr:ext cx="262636" cy="280205"/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6006040" y="2059268"/>
          <a:ext cx="262636" cy="28020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>
              <a:solidFill>
                <a:srgbClr val="C00000"/>
              </a:solidFill>
            </a:rPr>
            <a:t>5</a:t>
          </a:r>
        </a:p>
      </xdr:txBody>
    </xdr:sp>
    <xdr:clientData/>
  </xdr:oneCellAnchor>
  <xdr:oneCellAnchor>
    <xdr:from>
      <xdr:col>10</xdr:col>
      <xdr:colOff>197158</xdr:colOff>
      <xdr:row>12</xdr:row>
      <xdr:rowOff>42333</xdr:rowOff>
    </xdr:from>
    <xdr:ext cx="262636" cy="280205"/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6001805" y="2339539"/>
          <a:ext cx="262636" cy="28020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>
              <a:solidFill>
                <a:srgbClr val="C00000"/>
              </a:solidFill>
            </a:rPr>
            <a:t>6</a:t>
          </a:r>
        </a:p>
      </xdr:txBody>
    </xdr:sp>
    <xdr:clientData/>
  </xdr:oneCellAnchor>
  <xdr:oneCellAnchor>
    <xdr:from>
      <xdr:col>11</xdr:col>
      <xdr:colOff>96310</xdr:colOff>
      <xdr:row>16</xdr:row>
      <xdr:rowOff>201084</xdr:rowOff>
    </xdr:from>
    <xdr:ext cx="262636" cy="280205"/>
    <xdr:sp macro="" textlink="">
      <xdr:nvSpPr>
        <xdr:cNvPr id="7" name="TextBox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6801910" y="2753784"/>
          <a:ext cx="262636" cy="28020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>
              <a:solidFill>
                <a:srgbClr val="C00000"/>
              </a:solidFill>
            </a:rPr>
            <a:t>7</a:t>
          </a:r>
        </a:p>
      </xdr:txBody>
    </xdr:sp>
    <xdr:clientData/>
  </xdr:oneCellAnchor>
  <xdr:oneCellAnchor>
    <xdr:from>
      <xdr:col>13</xdr:col>
      <xdr:colOff>21168</xdr:colOff>
      <xdr:row>26</xdr:row>
      <xdr:rowOff>42333</xdr:rowOff>
    </xdr:from>
    <xdr:ext cx="340606" cy="280205"/>
    <xdr:sp macro="" textlink="">
      <xdr:nvSpPr>
        <xdr:cNvPr id="8" name="TextBox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7027335" y="4984750"/>
          <a:ext cx="340606" cy="28020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>
              <a:solidFill>
                <a:srgbClr val="C00000"/>
              </a:solidFill>
            </a:rPr>
            <a:t>10</a:t>
          </a:r>
        </a:p>
      </xdr:txBody>
    </xdr:sp>
    <xdr:clientData/>
  </xdr:oneCellAnchor>
  <xdr:oneCellAnchor>
    <xdr:from>
      <xdr:col>22</xdr:col>
      <xdr:colOff>508001</xdr:colOff>
      <xdr:row>26</xdr:row>
      <xdr:rowOff>105833</xdr:rowOff>
    </xdr:from>
    <xdr:ext cx="340606" cy="280205"/>
    <xdr:sp macro="" textlink="">
      <xdr:nvSpPr>
        <xdr:cNvPr id="9" name="TextBox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3919201" y="4315883"/>
          <a:ext cx="340606" cy="28020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>
              <a:solidFill>
                <a:srgbClr val="C00000"/>
              </a:solidFill>
            </a:rPr>
            <a:t>11</a:t>
          </a:r>
        </a:p>
      </xdr:txBody>
    </xdr:sp>
    <xdr:clientData/>
  </xdr:oneCellAnchor>
  <xdr:oneCellAnchor>
    <xdr:from>
      <xdr:col>3</xdr:col>
      <xdr:colOff>465666</xdr:colOff>
      <xdr:row>12</xdr:row>
      <xdr:rowOff>116417</xdr:rowOff>
    </xdr:from>
    <xdr:ext cx="262636" cy="280205"/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2294466" y="1897592"/>
          <a:ext cx="262636" cy="28020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>
              <a:solidFill>
                <a:srgbClr val="C00000"/>
              </a:solidFill>
            </a:rPr>
            <a:t>1</a:t>
          </a:r>
        </a:p>
      </xdr:txBody>
    </xdr:sp>
    <xdr:clientData/>
  </xdr:oneCellAnchor>
  <xdr:oneCellAnchor>
    <xdr:from>
      <xdr:col>28</xdr:col>
      <xdr:colOff>131234</xdr:colOff>
      <xdr:row>14</xdr:row>
      <xdr:rowOff>57150</xdr:rowOff>
    </xdr:from>
    <xdr:ext cx="262636" cy="280205"/>
    <xdr:sp macro="" textlink="">
      <xdr:nvSpPr>
        <xdr:cNvPr id="11" name="TextBox 10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7200034" y="2324100"/>
          <a:ext cx="262636" cy="28020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>
              <a:solidFill>
                <a:srgbClr val="C00000"/>
              </a:solidFill>
            </a:rPr>
            <a:t>8</a:t>
          </a:r>
        </a:p>
      </xdr:txBody>
    </xdr:sp>
    <xdr:clientData/>
  </xdr:oneCellAnchor>
  <xdr:oneCellAnchor>
    <xdr:from>
      <xdr:col>32</xdr:col>
      <xdr:colOff>105834</xdr:colOff>
      <xdr:row>14</xdr:row>
      <xdr:rowOff>63500</xdr:rowOff>
    </xdr:from>
    <xdr:ext cx="262636" cy="280205"/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6658167" y="2730500"/>
          <a:ext cx="262636" cy="28020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>
              <a:solidFill>
                <a:srgbClr val="C00000"/>
              </a:solidFill>
            </a:rPr>
            <a:t>9</a:t>
          </a:r>
        </a:p>
      </xdr:txBody>
    </xdr:sp>
    <xdr:clientData/>
  </xdr:oneCellAnchor>
  <xdr:twoCellAnchor>
    <xdr:from>
      <xdr:col>2</xdr:col>
      <xdr:colOff>95249</xdr:colOff>
      <xdr:row>31</xdr:row>
      <xdr:rowOff>46567</xdr:rowOff>
    </xdr:from>
    <xdr:to>
      <xdr:col>6</xdr:col>
      <xdr:colOff>497417</xdr:colOff>
      <xdr:row>48</xdr:row>
      <xdr:rowOff>91017</xdr:rowOff>
    </xdr:to>
    <xdr:graphicFrame macro="">
      <xdr:nvGraphicFramePr>
        <xdr:cNvPr id="13" name="Chart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529165</xdr:colOff>
      <xdr:row>31</xdr:row>
      <xdr:rowOff>42334</xdr:rowOff>
    </xdr:from>
    <xdr:to>
      <xdr:col>12</xdr:col>
      <xdr:colOff>783166</xdr:colOff>
      <xdr:row>48</xdr:row>
      <xdr:rowOff>86784</xdr:rowOff>
    </xdr:to>
    <xdr:graphicFrame macro="">
      <xdr:nvGraphicFramePr>
        <xdr:cNvPr id="14" name="Chart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190500</xdr:colOff>
      <xdr:row>31</xdr:row>
      <xdr:rowOff>31749</xdr:rowOff>
    </xdr:from>
    <xdr:to>
      <xdr:col>22</xdr:col>
      <xdr:colOff>691886</xdr:colOff>
      <xdr:row>48</xdr:row>
      <xdr:rowOff>76199</xdr:rowOff>
    </xdr:to>
    <xdr:graphicFrame macro="">
      <xdr:nvGraphicFramePr>
        <xdr:cNvPr id="15" name="Chart 14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714375</xdr:colOff>
      <xdr:row>31</xdr:row>
      <xdr:rowOff>30427</xdr:rowOff>
    </xdr:from>
    <xdr:to>
      <xdr:col>32</xdr:col>
      <xdr:colOff>494772</xdr:colOff>
      <xdr:row>48</xdr:row>
      <xdr:rowOff>74877</xdr:rowOff>
    </xdr:to>
    <xdr:graphicFrame macro="">
      <xdr:nvGraphicFramePr>
        <xdr:cNvPr id="16" name="Chart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777876</xdr:colOff>
      <xdr:row>31</xdr:row>
      <xdr:rowOff>29105</xdr:rowOff>
    </xdr:from>
    <xdr:to>
      <xdr:col>18</xdr:col>
      <xdr:colOff>178593</xdr:colOff>
      <xdr:row>48</xdr:row>
      <xdr:rowOff>73555</xdr:rowOff>
    </xdr:to>
    <xdr:graphicFrame macro="">
      <xdr:nvGraphicFramePr>
        <xdr:cNvPr id="17" name="Chart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</xdr:col>
      <xdr:colOff>697840</xdr:colOff>
      <xdr:row>29</xdr:row>
      <xdr:rowOff>158313</xdr:rowOff>
    </xdr:from>
    <xdr:to>
      <xdr:col>4</xdr:col>
      <xdr:colOff>51</xdr:colOff>
      <xdr:row>29</xdr:row>
      <xdr:rowOff>158673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8" name="Ink 17">
              <a:extLst>
                <a:ext uri="{FF2B5EF4-FFF2-40B4-BE49-F238E27FC236}">
                  <a16:creationId xmlns="" xmlns:a16="http://schemas.microsoft.com/office/drawing/2014/main" id="{00000000-0008-0000-0000-000012000000}"/>
                </a:ext>
              </a:extLst>
            </xdr14:cNvPr>
            <xdr14:cNvContentPartPr/>
          </xdr14:nvContentPartPr>
          <xdr14:nvPr macro=""/>
          <xdr14:xfrm>
            <a:off x="2094840" y="5640480"/>
            <a:ext cx="4680" cy="36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A41B1380-F00B-4841-9A67-B4750EA3FB1C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086200" y="5631480"/>
              <a:ext cx="22320" cy="18000"/>
            </a:xfrm>
            <a:prstGeom prst="rect">
              <a:avLst/>
            </a:prstGeom>
          </xdr:spPr>
        </xdr:pic>
      </mc:Fallback>
    </mc:AlternateContent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238125</xdr:colOff>
          <xdr:row>26</xdr:row>
          <xdr:rowOff>152400</xdr:rowOff>
        </xdr:from>
        <xdr:to>
          <xdr:col>16</xdr:col>
          <xdr:colOff>561975</xdr:colOff>
          <xdr:row>28</xdr:row>
          <xdr:rowOff>9525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="" xmlns:a16="http://schemas.microsoft.com/office/drawing/2014/main" id="{12A11D14-E950-4394-B6B8-6601EC76B2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219075</xdr:colOff>
          <xdr:row>26</xdr:row>
          <xdr:rowOff>152400</xdr:rowOff>
        </xdr:from>
        <xdr:to>
          <xdr:col>17</xdr:col>
          <xdr:colOff>542925</xdr:colOff>
          <xdr:row>28</xdr:row>
          <xdr:rowOff>9525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="" xmlns:a16="http://schemas.microsoft.com/office/drawing/2014/main" id="{DF10E951-2954-496E-A421-51C1E260BD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276225</xdr:colOff>
          <xdr:row>26</xdr:row>
          <xdr:rowOff>152400</xdr:rowOff>
        </xdr:from>
        <xdr:to>
          <xdr:col>18</xdr:col>
          <xdr:colOff>600075</xdr:colOff>
          <xdr:row>28</xdr:row>
          <xdr:rowOff>9525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="" xmlns:a16="http://schemas.microsoft.com/office/drawing/2014/main" id="{C01A4E96-9B27-498A-B279-FC39C1F9E9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219075</xdr:colOff>
          <xdr:row>26</xdr:row>
          <xdr:rowOff>152400</xdr:rowOff>
        </xdr:from>
        <xdr:to>
          <xdr:col>19</xdr:col>
          <xdr:colOff>542925</xdr:colOff>
          <xdr:row>28</xdr:row>
          <xdr:rowOff>9525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="" xmlns:a16="http://schemas.microsoft.com/office/drawing/2014/main" id="{5EFDAA25-DED7-4CE1-8575-D71C8E26BB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152400</xdr:colOff>
          <xdr:row>26</xdr:row>
          <xdr:rowOff>152400</xdr:rowOff>
        </xdr:from>
        <xdr:to>
          <xdr:col>20</xdr:col>
          <xdr:colOff>485775</xdr:colOff>
          <xdr:row>28</xdr:row>
          <xdr:rowOff>9525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="" xmlns:a16="http://schemas.microsoft.com/office/drawing/2014/main" id="{0C68BC7A-84D4-4411-85A4-8CA580E6D4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495301</xdr:colOff>
      <xdr:row>0</xdr:row>
      <xdr:rowOff>57150</xdr:rowOff>
    </xdr:from>
    <xdr:to>
      <xdr:col>34</xdr:col>
      <xdr:colOff>191873</xdr:colOff>
      <xdr:row>27</xdr:row>
      <xdr:rowOff>47625</xdr:rowOff>
    </xdr:to>
    <xdr:grpSp>
      <xdr:nvGrpSpPr>
        <xdr:cNvPr id="13" name="Group 12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GrpSpPr/>
      </xdr:nvGrpSpPr>
      <xdr:grpSpPr>
        <a:xfrm>
          <a:off x="9896476" y="57150"/>
          <a:ext cx="7011772" cy="4962525"/>
          <a:chOff x="8601076" y="161925"/>
          <a:chExt cx="7011772" cy="4448175"/>
        </a:xfrm>
      </xdr:grpSpPr>
      <xdr:grpSp>
        <xdr:nvGrpSpPr>
          <xdr:cNvPr id="7" name="Group 6">
            <a:extLst>
              <a:ext uri="{FF2B5EF4-FFF2-40B4-BE49-F238E27FC236}">
                <a16:creationId xmlns="" xmlns:a16="http://schemas.microsoft.com/office/drawing/2014/main" id="{00000000-0008-0000-0100-000007000000}"/>
              </a:ext>
            </a:extLst>
          </xdr:cNvPr>
          <xdr:cNvGrpSpPr/>
        </xdr:nvGrpSpPr>
        <xdr:grpSpPr>
          <a:xfrm>
            <a:off x="8601076" y="161925"/>
            <a:ext cx="7011772" cy="4448175"/>
            <a:chOff x="9096376" y="361950"/>
            <a:chExt cx="6402172" cy="4276725"/>
          </a:xfrm>
        </xdr:grpSpPr>
        <xdr:pic>
          <xdr:nvPicPr>
            <xdr:cNvPr id="2" name="Picture 1">
              <a:extLst>
                <a:ext uri="{FF2B5EF4-FFF2-40B4-BE49-F238E27FC236}">
                  <a16:creationId xmlns="" xmlns:a16="http://schemas.microsoft.com/office/drawing/2014/main" id="{00000000-0008-0000-0100-000002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9096376" y="361950"/>
              <a:ext cx="6402172" cy="4276725"/>
            </a:xfrm>
            <a:prstGeom prst="rect">
              <a:avLst/>
            </a:prstGeom>
          </xdr:spPr>
        </xdr:pic>
        <xdr:sp macro="" textlink="">
          <xdr:nvSpPr>
            <xdr:cNvPr id="3" name="Rectangle 2">
              <a:extLst>
                <a:ext uri="{FF2B5EF4-FFF2-40B4-BE49-F238E27FC236}">
                  <a16:creationId xmlns="" xmlns:a16="http://schemas.microsoft.com/office/drawing/2014/main" id="{00000000-0008-0000-0100-000003000000}"/>
                </a:ext>
              </a:extLst>
            </xdr:cNvPr>
            <xdr:cNvSpPr/>
          </xdr:nvSpPr>
          <xdr:spPr>
            <a:xfrm>
              <a:off x="12011024" y="2543175"/>
              <a:ext cx="219075" cy="238125"/>
            </a:xfrm>
            <a:prstGeom prst="rect">
              <a:avLst/>
            </a:prstGeom>
            <a:noFill/>
            <a:ln w="3175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" name="TextBox 3">
              <a:extLst>
                <a:ext uri="{FF2B5EF4-FFF2-40B4-BE49-F238E27FC236}">
                  <a16:creationId xmlns=""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12096750" y="2238375"/>
              <a:ext cx="288669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600" b="1">
                  <a:solidFill>
                    <a:srgbClr val="FF0000"/>
                  </a:solidFill>
                </a:rPr>
                <a:t>3</a:t>
              </a:r>
            </a:p>
          </xdr:txBody>
        </xdr:sp>
        <xdr:sp macro="" textlink="">
          <xdr:nvSpPr>
            <xdr:cNvPr id="5" name="Rectangle 4">
              <a:extLst>
                <a:ext uri="{FF2B5EF4-FFF2-40B4-BE49-F238E27FC236}">
                  <a16:creationId xmlns="" xmlns:a16="http://schemas.microsoft.com/office/drawing/2014/main" id="{00000000-0008-0000-0100-000005000000}"/>
                </a:ext>
              </a:extLst>
            </xdr:cNvPr>
            <xdr:cNvSpPr/>
          </xdr:nvSpPr>
          <xdr:spPr>
            <a:xfrm>
              <a:off x="11306174" y="2581275"/>
              <a:ext cx="219075" cy="238125"/>
            </a:xfrm>
            <a:prstGeom prst="rect">
              <a:avLst/>
            </a:prstGeom>
            <a:noFill/>
            <a:ln w="31750">
              <a:solidFill>
                <a:schemeClr val="tx1">
                  <a:lumMod val="95000"/>
                  <a:lumOff val="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" name="TextBox 5">
              <a:extLst>
                <a:ext uri="{FF2B5EF4-FFF2-40B4-BE49-F238E27FC236}">
                  <a16:creationId xmlns=""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11420475" y="2295525"/>
              <a:ext cx="288669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600" b="1">
                  <a:solidFill>
                    <a:schemeClr val="tx2">
                      <a:lumMod val="50000"/>
                    </a:schemeClr>
                  </a:solidFill>
                </a:rPr>
                <a:t>4</a:t>
              </a:r>
            </a:p>
          </xdr:txBody>
        </xdr:sp>
      </xdr:grpSp>
      <xdr:cxnSp macro="">
        <xdr:nvCxnSpPr>
          <xdr:cNvPr id="10" name="Straight Connector 9">
            <a:extLst>
              <a:ext uri="{FF2B5EF4-FFF2-40B4-BE49-F238E27FC236}">
                <a16:creationId xmlns="" xmlns:a16="http://schemas.microsoft.com/office/drawing/2014/main" id="{00000000-0008-0000-0100-00000A000000}"/>
              </a:ext>
            </a:extLst>
          </xdr:cNvPr>
          <xdr:cNvCxnSpPr/>
        </xdr:nvCxnSpPr>
        <xdr:spPr>
          <a:xfrm flipH="1" flipV="1">
            <a:off x="11915775" y="1019175"/>
            <a:ext cx="9525" cy="341947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TextBox 10">
            <a:extLst>
              <a:ext uri="{FF2B5EF4-FFF2-40B4-BE49-F238E27FC236}">
                <a16:creationId xmlns="" xmlns:a16="http://schemas.microsoft.com/office/drawing/2014/main" id="{00000000-0008-0000-0100-00000B000000}"/>
              </a:ext>
            </a:extLst>
          </xdr:cNvPr>
          <xdr:cNvSpPr txBox="1"/>
        </xdr:nvSpPr>
        <xdr:spPr>
          <a:xfrm>
            <a:off x="11677650" y="742950"/>
            <a:ext cx="466987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400" b="1">
                <a:solidFill>
                  <a:srgbClr val="FF0000"/>
                </a:solidFill>
              </a:rPr>
              <a:t>A/q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="" xmlns:a16="http://schemas.microsoft.com/office/drawing/2014/main" id="{00000000-0008-0000-0100-00000C000000}"/>
              </a:ext>
            </a:extLst>
          </xdr:cNvPr>
          <xdr:cNvSpPr txBox="1"/>
        </xdr:nvSpPr>
        <xdr:spPr>
          <a:xfrm>
            <a:off x="14344650" y="2876550"/>
            <a:ext cx="295017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800" b="1">
                <a:solidFill>
                  <a:schemeClr val="accent1">
                    <a:lumMod val="75000"/>
                  </a:schemeClr>
                </a:solidFill>
              </a:rPr>
              <a:t>Z</a:t>
            </a:r>
          </a:p>
        </xdr:txBody>
      </xdr:sp>
    </xdr:grpSp>
    <xdr:clientData/>
  </xdr:twoCellAnchor>
  <xdr:twoCellAnchor>
    <xdr:from>
      <xdr:col>22</xdr:col>
      <xdr:colOff>9525</xdr:colOff>
      <xdr:row>27</xdr:row>
      <xdr:rowOff>125082</xdr:rowOff>
    </xdr:from>
    <xdr:to>
      <xdr:col>26</xdr:col>
      <xdr:colOff>437872</xdr:colOff>
      <xdr:row>31</xdr:row>
      <xdr:rowOff>159813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6">
              <a:extLst>
                <a:ext uri="{FF2B5EF4-FFF2-40B4-BE49-F238E27FC236}">
                  <a16:creationId xmlns="" xmlns:a16="http://schemas.microsoft.com/office/drawing/2014/main" id="{00000000-0008-0000-0100-00000E000000}"/>
                </a:ext>
              </a:extLst>
            </xdr:cNvPr>
            <xdr:cNvSpPr txBox="1"/>
          </xdr:nvSpPr>
          <xdr:spPr>
            <a:xfrm>
              <a:off x="8534400" y="4849482"/>
              <a:ext cx="2866747" cy="682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hlink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hlink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hlink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hlink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hlink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hlink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hlink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hlink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hlink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solidFill>
                          <a:srgbClr val="002060"/>
                        </a:solidFill>
                        <a:latin typeface="Cambria Math" panose="02040503050406030204" pitchFamily="18" charset="0"/>
                      </a:rPr>
                      <m:t>𝑍</m:t>
                    </m:r>
                    <m:r>
                      <a:rPr lang="en-US" sz="1600" i="1">
                        <a:solidFill>
                          <a:srgbClr val="00206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i="1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i="1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sz="1600" b="0" i="1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num>
                      <m:den>
                        <m:sSub>
                          <m:sSubPr>
                            <m:ctrlPr>
                              <a:rPr lang="en-US" sz="1600" b="0" i="1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i="1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</a:rPr>
                              <m:t>(</m:t>
                            </m:r>
                            <m:f>
                              <m:fPr>
                                <m:type m:val="skw"/>
                                <m:ctrlPr>
                                  <a:rPr lang="en-US" sz="1600" i="1">
                                    <a:solidFill>
                                      <a:srgbClr val="00206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600" i="1">
                                    <a:solidFill>
                                      <a:srgbClr val="002060"/>
                                    </a:solidFill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num>
                              <m:den>
                                <m:r>
                                  <a:rPr lang="en-US" sz="1600" i="1">
                                    <a:solidFill>
                                      <a:srgbClr val="002060"/>
                                    </a:solidFill>
                                    <a:latin typeface="Cambria Math" panose="02040503050406030204" pitchFamily="18" charset="0"/>
                                  </a:rPr>
                                  <m:t>𝑞</m:t>
                                </m:r>
                              </m:den>
                            </m:f>
                            <m:r>
                              <a:rPr lang="en-US" sz="1600" i="1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b>
                            <m:r>
                              <a:rPr lang="en-US" sz="1600" b="0" i="1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600" b="0" i="1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600" i="1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i="1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</a:rPr>
                              <m:t>(</m:t>
                            </m:r>
                            <m:f>
                              <m:fPr>
                                <m:type m:val="skw"/>
                                <m:ctrlPr>
                                  <a:rPr lang="en-US" sz="1600" i="1">
                                    <a:solidFill>
                                      <a:srgbClr val="00206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600" i="1">
                                    <a:solidFill>
                                      <a:srgbClr val="002060"/>
                                    </a:solidFill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num>
                              <m:den>
                                <m:r>
                                  <a:rPr lang="en-US" sz="1600" i="1">
                                    <a:solidFill>
                                      <a:srgbClr val="002060"/>
                                    </a:solidFill>
                                    <a:latin typeface="Cambria Math" panose="02040503050406030204" pitchFamily="18" charset="0"/>
                                  </a:rPr>
                                  <m:t>𝑞</m:t>
                                </m:r>
                              </m:den>
                            </m:f>
                            <m:r>
                              <a:rPr lang="en-US" sz="1600" i="1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b>
                            <m:r>
                              <a:rPr lang="en-US" sz="1600" b="0" i="1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600">
                <a:solidFill>
                  <a:srgbClr val="002060"/>
                </a:solidFill>
              </a:endParaRPr>
            </a:p>
          </xdr:txBody>
        </xdr:sp>
      </mc:Choice>
      <mc:Fallback xmlns="">
        <xdr:sp macro="" textlink="">
          <xdr:nvSpPr>
            <xdr:cNvPr id="14" name="TextBox 6"/>
            <xdr:cNvSpPr txBox="1"/>
          </xdr:nvSpPr>
          <xdr:spPr>
            <a:xfrm>
              <a:off x="8534400" y="4849482"/>
              <a:ext cx="2866747" cy="682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hlink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hlink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hlink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hlink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hlink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hlink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hlink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hlink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hlink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/>
              <a:r>
                <a:rPr lang="en-US" sz="1600" b="0" i="0">
                  <a:solidFill>
                    <a:srgbClr val="002060"/>
                  </a:solidFill>
                  <a:latin typeface="Cambria Math" panose="02040503050406030204" pitchFamily="18" charset="0"/>
                </a:rPr>
                <a:t>𝑍</a:t>
              </a:r>
              <a:r>
                <a:rPr lang="en-US" sz="1600" i="0">
                  <a:solidFill>
                    <a:srgbClr val="002060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1600" i="0">
                  <a:solidFill>
                    <a:srgbClr val="00206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600" b="0" i="0">
                  <a:solidFill>
                    <a:srgbClr val="00206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𝐴/(〖</a:t>
              </a:r>
              <a:r>
                <a:rPr lang="en-US" sz="1600" i="0">
                  <a:solidFill>
                    <a:srgbClr val="002060"/>
                  </a:solidFill>
                  <a:latin typeface="Cambria Math" panose="02040503050406030204" pitchFamily="18" charset="0"/>
                </a:rPr>
                <a:t>(𝐴⁄𝑞)</a:t>
              </a:r>
              <a:r>
                <a:rPr lang="en-US" sz="1600" b="0" i="0">
                  <a:solidFill>
                    <a:srgbClr val="002060"/>
                  </a:solidFill>
                  <a:latin typeface="Cambria Math" panose="02040503050406030204" pitchFamily="18" charset="0"/>
                </a:rPr>
                <a:t>〗_1−〖</a:t>
              </a:r>
              <a:r>
                <a:rPr lang="en-US" sz="1600" i="0">
                  <a:solidFill>
                    <a:srgbClr val="002060"/>
                  </a:solidFill>
                  <a:latin typeface="Cambria Math" panose="02040503050406030204" pitchFamily="18" charset="0"/>
                </a:rPr>
                <a:t>(𝐴⁄𝑞)〗_</a:t>
              </a:r>
              <a:r>
                <a:rPr lang="en-US" sz="1600" b="0" i="0">
                  <a:solidFill>
                    <a:srgbClr val="002060"/>
                  </a:solidFill>
                  <a:latin typeface="Cambria Math" panose="02040503050406030204" pitchFamily="18" charset="0"/>
                </a:rPr>
                <a:t>2 )</a:t>
              </a:r>
              <a:endParaRPr lang="en-US" sz="1600">
                <a:solidFill>
                  <a:srgbClr val="002060"/>
                </a:solidFill>
              </a:endParaRPr>
            </a:p>
          </xdr:txBody>
        </xdr:sp>
      </mc:Fallback>
    </mc:AlternateContent>
    <xdr:clientData/>
  </xdr:twoCellAnchor>
  <xdr:twoCellAnchor>
    <xdr:from>
      <xdr:col>26</xdr:col>
      <xdr:colOff>238125</xdr:colOff>
      <xdr:row>27</xdr:row>
      <xdr:rowOff>142875</xdr:rowOff>
    </xdr:from>
    <xdr:to>
      <xdr:col>34</xdr:col>
      <xdr:colOff>266700</xdr:colOff>
      <xdr:row>33</xdr:row>
      <xdr:rowOff>113442</xdr:rowOff>
    </xdr:to>
    <xdr:sp macro="" textlink="">
      <xdr:nvSpPr>
        <xdr:cNvPr id="15" name="TextBox 9">
          <a:extLst>
            <a:ext uri="{FF2B5EF4-FFF2-40B4-BE49-F238E27FC236}">
              <a16:creationId xmlns=""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1201400" y="4867275"/>
          <a:ext cx="4905375" cy="9421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hlink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hlink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hlink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hlink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hlink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hlink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hlink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hlink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hlink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r>
            <a:rPr lang="en-US" sz="1400">
              <a:solidFill>
                <a:srgbClr val="002060"/>
              </a:solidFill>
              <a:latin typeface="Times New Roman" panose="02020603050405020304" pitchFamily="18" charset="0"/>
            </a:rPr>
            <a:t>(A/q)</a:t>
          </a:r>
          <a:r>
            <a:rPr lang="en-US" sz="1400" baseline="-25000">
              <a:solidFill>
                <a:srgbClr val="002060"/>
              </a:solidFill>
              <a:latin typeface="Times New Roman" panose="02020603050405020304" pitchFamily="18" charset="0"/>
            </a:rPr>
            <a:t>1</a:t>
          </a:r>
          <a:r>
            <a:rPr lang="en-US" sz="1400">
              <a:solidFill>
                <a:srgbClr val="002060"/>
              </a:solidFill>
              <a:latin typeface="Times New Roman" panose="02020603050405020304" pitchFamily="18" charset="0"/>
            </a:rPr>
            <a:t> </a:t>
          </a:r>
          <a:r>
            <a:rPr lang="en-US" sz="1400">
              <a:solidFill>
                <a:srgbClr val="002060"/>
              </a:solidFill>
            </a:rPr>
            <a:t>isotope – should be belong to  A/q line  as 2, 2.5 or 3</a:t>
          </a:r>
        </a:p>
        <a:p>
          <a:r>
            <a:rPr lang="en-US" sz="1400">
              <a:solidFill>
                <a:srgbClr val="002060"/>
              </a:solidFill>
              <a:latin typeface="Times New Roman" panose="02020603050405020304" pitchFamily="18" charset="0"/>
            </a:rPr>
            <a:t>(A/q)</a:t>
          </a:r>
          <a:r>
            <a:rPr lang="en-US" sz="1400" baseline="-25000">
              <a:solidFill>
                <a:srgbClr val="002060"/>
              </a:solidFill>
              <a:latin typeface="Times New Roman" panose="02020603050405020304" pitchFamily="18" charset="0"/>
            </a:rPr>
            <a:t>2</a:t>
          </a:r>
          <a:r>
            <a:rPr lang="en-US" sz="1400">
              <a:solidFill>
                <a:srgbClr val="002060"/>
              </a:solidFill>
              <a:latin typeface="Times New Roman" panose="02020603050405020304" pitchFamily="18" charset="0"/>
            </a:rPr>
            <a:t> </a:t>
          </a:r>
          <a:r>
            <a:rPr lang="en-US" sz="1400">
              <a:solidFill>
                <a:srgbClr val="002060"/>
              </a:solidFill>
            </a:rPr>
            <a:t>isotope – should be the element as the first isotope</a:t>
          </a:r>
        </a:p>
        <a:p>
          <a:r>
            <a:rPr lang="en-US" sz="1400">
              <a:solidFill>
                <a:srgbClr val="002060"/>
              </a:solidFill>
              <a:latin typeface="+mj-lt"/>
              <a:sym typeface="Symbol" panose="05050102010706020507" pitchFamily="18" charset="2"/>
            </a:rPr>
            <a:t>A</a:t>
          </a:r>
          <a:r>
            <a:rPr lang="en-US" sz="1400">
              <a:solidFill>
                <a:srgbClr val="002060"/>
              </a:solidFill>
              <a:sym typeface="Symbol" panose="05050102010706020507" pitchFamily="18" charset="2"/>
            </a:rPr>
            <a:t> – isotope mass difference </a:t>
          </a:r>
          <a:endParaRPr lang="en-US" sz="1400">
            <a:solidFill>
              <a:srgbClr val="002060"/>
            </a:solidFill>
          </a:endParaRPr>
        </a:p>
        <a:p>
          <a:endParaRPr lang="en-US" sz="1400">
            <a:solidFill>
              <a:srgbClr val="00206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47625</xdr:colOff>
          <xdr:row>1</xdr:row>
          <xdr:rowOff>28575</xdr:rowOff>
        </xdr:from>
        <xdr:to>
          <xdr:col>13</xdr:col>
          <xdr:colOff>133350</xdr:colOff>
          <xdr:row>6</xdr:row>
          <xdr:rowOff>57150</xdr:rowOff>
        </xdr:to>
        <xdr:grpSp>
          <xdr:nvGrpSpPr>
            <xdr:cNvPr id="8" name="Group 7">
              <a:extLst>
                <a:ext uri="{FF2B5EF4-FFF2-40B4-BE49-F238E27FC236}">
                  <a16:creationId xmlns="" xmlns:a16="http://schemas.microsoft.com/office/drawing/2014/main" id="{00000000-0008-0000-0100-000008000000}"/>
                </a:ext>
              </a:extLst>
            </xdr:cNvPr>
            <xdr:cNvGrpSpPr/>
          </xdr:nvGrpSpPr>
          <xdr:grpSpPr>
            <a:xfrm>
              <a:off x="5791200" y="200025"/>
              <a:ext cx="3133725" cy="952500"/>
              <a:chOff x="6543675" y="300691"/>
              <a:chExt cx="3133725" cy="866775"/>
            </a:xfrm>
            <a:solidFill>
              <a:schemeClr val="accent1">
                <a:lumMod val="50000"/>
              </a:schemeClr>
            </a:solidFill>
          </xdr:grpSpPr>
          <xdr:sp macro="" textlink="">
            <xdr:nvSpPr>
              <xdr:cNvPr id="2052" name="Option Button 4" hidden="1">
                <a:extLst>
                  <a:ext uri="{63B3BB69-23CF-44E3-9099-C40C66FF867C}">
                    <a14:compatExt spid="_x0000_s2052"/>
                  </a:ext>
                  <a:ext uri="{FF2B5EF4-FFF2-40B4-BE49-F238E27FC236}">
                    <a16:creationId xmlns="" xmlns:a16="http://schemas.microsoft.com/office/drawing/2014/main" id="{00000000-0008-0000-0100-000004080000}"/>
                  </a:ext>
                </a:extLst>
              </xdr:cNvPr>
              <xdr:cNvSpPr/>
            </xdr:nvSpPr>
            <xdr:spPr bwMode="auto">
              <a:xfrm>
                <a:off x="6705600" y="401077"/>
                <a:ext cx="2590800" cy="3619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The same A/q as 1st point,. User has to enter the dZ value relatively the 1st point</a:t>
                </a:r>
              </a:p>
            </xdr:txBody>
          </xdr:sp>
          <xdr:sp macro="" textlink="">
            <xdr:nvSpPr>
              <xdr:cNvPr id="2054" name="Option Button 6" hidden="1">
                <a:extLst>
                  <a:ext uri="{63B3BB69-23CF-44E3-9099-C40C66FF867C}">
                    <a14:compatExt spid="_x0000_s2054"/>
                  </a:ext>
                  <a:ext uri="{FF2B5EF4-FFF2-40B4-BE49-F238E27FC236}">
                    <a16:creationId xmlns="" xmlns:a16="http://schemas.microsoft.com/office/drawing/2014/main" id="{00000000-0008-0000-0100-000006080000}"/>
                  </a:ext>
                </a:extLst>
              </xdr:cNvPr>
              <xdr:cNvSpPr/>
            </xdr:nvSpPr>
            <xdr:spPr bwMode="auto">
              <a:xfrm>
                <a:off x="6705600" y="795992"/>
                <a:ext cx="2752725" cy="1905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Manual Z assignment. User has to enter the Z value</a:t>
                </a:r>
              </a:p>
            </xdr:txBody>
          </xdr:sp>
          <xdr:sp macro="" textlink="">
            <xdr:nvSpPr>
              <xdr:cNvPr id="2050" name="Group Box Mass" hidden="1">
                <a:extLst>
                  <a:ext uri="{63B3BB69-23CF-44E3-9099-C40C66FF867C}">
                    <a14:compatExt spid="_x0000_s2050"/>
                  </a:ext>
                  <a:ext uri="{FF2B5EF4-FFF2-40B4-BE49-F238E27FC236}">
                    <a16:creationId xmlns="" xmlns:a16="http://schemas.microsoft.com/office/drawing/2014/main" id="{00000000-0008-0000-0100-000002080000}"/>
                  </a:ext>
                </a:extLst>
              </xdr:cNvPr>
              <xdr:cNvSpPr/>
            </xdr:nvSpPr>
            <xdr:spPr bwMode="auto">
              <a:xfrm>
                <a:off x="6543675" y="300691"/>
                <a:ext cx="3133725" cy="866775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3rd point properties</a:t>
                </a:r>
              </a:p>
            </xdr:txBody>
          </xdr:sp>
        </xdr:grp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LISE/lis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E"/>
      <sheetName val="Base"/>
      <sheetName val="Global"/>
      <sheetName val="ChargeStates -&gt; MeanValue"/>
      <sheetName val="PID resolution calculator"/>
      <sheetName val="ReactionCalculation"/>
      <sheetName val="List of LISE.xlsm functions"/>
      <sheetName val="work"/>
      <sheetName val="parameters"/>
      <sheetName val="data"/>
    </sheetNames>
    <definedNames>
      <definedName name="Beta2Gamma"/>
      <definedName name="Brho2Energy"/>
      <definedName name="Energy2Beta"/>
      <definedName name="EnergyLossInMatter"/>
      <definedName name="MassIon"/>
      <definedName name="Mg2Mkm"/>
      <definedName name="Show_Element"/>
      <definedName name="show_Z"/>
    </definedNames>
    <sheetDataSet>
      <sheetData sheetId="1">
        <row r="3">
          <cell r="F3">
            <v>92</v>
          </cell>
        </row>
        <row r="4">
          <cell r="F4">
            <v>238</v>
          </cell>
        </row>
        <row r="5">
          <cell r="F5">
            <v>4</v>
          </cell>
        </row>
        <row r="6">
          <cell r="F6">
            <v>9</v>
          </cell>
        </row>
        <row r="7">
          <cell r="F7">
            <v>50</v>
          </cell>
        </row>
        <row r="8">
          <cell r="F8">
            <v>5</v>
          </cell>
        </row>
        <row r="9">
          <cell r="F9">
            <v>0</v>
          </cell>
        </row>
        <row r="25">
          <cell r="E25">
            <v>238.0003186500725</v>
          </cell>
        </row>
        <row r="54">
          <cell r="E54">
            <v>82</v>
          </cell>
        </row>
        <row r="55">
          <cell r="E55">
            <v>214</v>
          </cell>
        </row>
        <row r="56">
          <cell r="E56">
            <v>3</v>
          </cell>
        </row>
        <row r="57">
          <cell r="E57">
            <v>1</v>
          </cell>
        </row>
        <row r="58">
          <cell r="E58">
            <v>0</v>
          </cell>
        </row>
      </sheetData>
      <sheetData sheetId="2">
        <row r="5">
          <cell r="C5">
            <v>103</v>
          </cell>
        </row>
        <row r="6">
          <cell r="C6">
            <v>238</v>
          </cell>
        </row>
        <row r="7">
          <cell r="C7">
            <v>92</v>
          </cell>
        </row>
        <row r="8">
          <cell r="C8">
            <v>2</v>
          </cell>
        </row>
        <row r="9">
          <cell r="C9">
            <v>430</v>
          </cell>
        </row>
        <row r="10">
          <cell r="C10">
            <v>64</v>
          </cell>
        </row>
        <row r="11">
          <cell r="C11">
            <v>29</v>
          </cell>
        </row>
        <row r="12">
          <cell r="C12">
            <v>1000</v>
          </cell>
        </row>
        <row r="13">
          <cell r="C13">
            <v>0</v>
          </cell>
        </row>
        <row r="14">
          <cell r="C14">
            <v>0</v>
          </cell>
        </row>
      </sheetData>
      <sheetData sheetId="3">
        <row r="1">
          <cell r="B1">
            <v>29</v>
          </cell>
        </row>
        <row r="31">
          <cell r="B31">
            <v>82</v>
          </cell>
        </row>
        <row r="32">
          <cell r="B32">
            <v>150</v>
          </cell>
        </row>
      </sheetData>
      <sheetData sheetId="4">
        <row r="1">
          <cell r="Y1">
            <v>3.1071295779999999</v>
          </cell>
        </row>
        <row r="2">
          <cell r="Y2">
            <v>2</v>
          </cell>
          <cell r="AD2">
            <v>38</v>
          </cell>
        </row>
        <row r="3">
          <cell r="B3">
            <v>20</v>
          </cell>
          <cell r="G3">
            <v>45</v>
          </cell>
          <cell r="Y3">
            <v>2</v>
          </cell>
          <cell r="AD3">
            <v>20</v>
          </cell>
        </row>
        <row r="4">
          <cell r="G4">
            <v>14</v>
          </cell>
          <cell r="AD4">
            <v>20</v>
          </cell>
        </row>
        <row r="5">
          <cell r="B5">
            <v>35.993085999999998</v>
          </cell>
          <cell r="G5">
            <v>40</v>
          </cell>
        </row>
        <row r="6">
          <cell r="B6">
            <v>35.982114402189673</v>
          </cell>
          <cell r="AD6">
            <v>37.965346402189674</v>
          </cell>
        </row>
        <row r="8">
          <cell r="AD8">
            <v>72.151674505608469</v>
          </cell>
        </row>
        <row r="10">
          <cell r="AD10">
            <v>1.8</v>
          </cell>
        </row>
        <row r="11">
          <cell r="B11">
            <v>0.5</v>
          </cell>
          <cell r="D11">
            <v>0.01</v>
          </cell>
          <cell r="J11">
            <v>1</v>
          </cell>
        </row>
        <row r="12">
          <cell r="B12">
            <v>0.4</v>
          </cell>
          <cell r="D12">
            <v>1.1031581970567936</v>
          </cell>
          <cell r="J12">
            <v>2</v>
          </cell>
        </row>
        <row r="13">
          <cell r="B13">
            <v>0.3</v>
          </cell>
          <cell r="D13">
            <v>0.1</v>
          </cell>
          <cell r="J13">
            <v>15</v>
          </cell>
        </row>
        <row r="14">
          <cell r="D14">
            <v>0.2</v>
          </cell>
          <cell r="J14">
            <v>1</v>
          </cell>
        </row>
        <row r="15">
          <cell r="B15">
            <v>0.14907119849998599</v>
          </cell>
          <cell r="D15">
            <v>0.01</v>
          </cell>
          <cell r="J15">
            <v>0.14907119849998599</v>
          </cell>
        </row>
        <row r="17">
          <cell r="P17">
            <v>1.2237649239999999</v>
          </cell>
        </row>
        <row r="18">
          <cell r="B18">
            <v>385.1186743846219</v>
          </cell>
          <cell r="E18">
            <v>0.13021465953600297</v>
          </cell>
          <cell r="P18">
            <v>2.3695419642694118</v>
          </cell>
        </row>
        <row r="19">
          <cell r="B19">
            <v>2.3660070023534474</v>
          </cell>
          <cell r="P19">
            <v>0.39028501457226777</v>
          </cell>
        </row>
        <row r="20">
          <cell r="B20">
            <v>110.93285870195071</v>
          </cell>
          <cell r="P20">
            <v>1.086136836755704</v>
          </cell>
          <cell r="R20">
            <v>0.15192647391380631</v>
          </cell>
          <cell r="S20">
            <v>0.15232239259967528</v>
          </cell>
          <cell r="U20">
            <v>0.3727898533318289</v>
          </cell>
          <cell r="V20">
            <v>1.078861016359228</v>
          </cell>
        </row>
        <row r="21">
          <cell r="E21">
            <v>0.31622776601683794</v>
          </cell>
          <cell r="P21">
            <v>2887.671987098347</v>
          </cell>
        </row>
        <row r="24">
          <cell r="B24">
            <v>0.3897774671704437</v>
          </cell>
          <cell r="AD24">
            <v>0.37230505756868054</v>
          </cell>
        </row>
        <row r="25">
          <cell r="B25">
            <v>1.0858835320046125</v>
          </cell>
          <cell r="AD25">
            <v>1.0774580080823601</v>
          </cell>
        </row>
        <row r="26">
          <cell r="B26">
            <v>11.684709933088845</v>
          </cell>
        </row>
        <row r="27">
          <cell r="B27">
            <v>1.7991057201094836</v>
          </cell>
          <cell r="D27">
            <v>3.8516975462123087E-3</v>
          </cell>
          <cell r="AD27">
            <v>1.8982673201094824</v>
          </cell>
          <cell r="AF27">
            <v>6.0047236336196689E-3</v>
          </cell>
        </row>
        <row r="31">
          <cell r="B31">
            <v>19.999994439042847</v>
          </cell>
        </row>
        <row r="32">
          <cell r="B32">
            <v>35.982104397439862</v>
          </cell>
        </row>
        <row r="34">
          <cell r="B34">
            <v>35.982104397439848</v>
          </cell>
        </row>
        <row r="35">
          <cell r="B35">
            <v>-4.0178844806458462</v>
          </cell>
        </row>
        <row r="36">
          <cell r="B36">
            <v>-24.017878919688702</v>
          </cell>
        </row>
        <row r="37">
          <cell r="B37">
            <v>-4.0178855978103289</v>
          </cell>
        </row>
      </sheetData>
      <sheetData sheetId="5">
        <row r="2">
          <cell r="C2" t="str">
            <v xml:space="preserve">  </v>
          </cell>
          <cell r="E2" t="str">
            <v xml:space="preserve">  </v>
          </cell>
          <cell r="F2" t="str">
            <v xml:space="preserve">  </v>
          </cell>
          <cell r="G2">
            <v>24</v>
          </cell>
          <cell r="H2">
            <v>24</v>
          </cell>
          <cell r="I2">
            <v>24</v>
          </cell>
          <cell r="J2">
            <v>48</v>
          </cell>
          <cell r="K2">
            <v>48</v>
          </cell>
          <cell r="L2">
            <v>4</v>
          </cell>
          <cell r="M2">
            <v>4</v>
          </cell>
        </row>
        <row r="3">
          <cell r="C3" t="str">
            <v xml:space="preserve">  </v>
          </cell>
          <cell r="E3" t="str">
            <v xml:space="preserve">  </v>
          </cell>
          <cell r="F3" t="str">
            <v xml:space="preserve">  </v>
          </cell>
          <cell r="G3">
            <v>8</v>
          </cell>
          <cell r="H3">
            <v>8</v>
          </cell>
          <cell r="I3">
            <v>8</v>
          </cell>
          <cell r="J3">
            <v>20</v>
          </cell>
          <cell r="K3">
            <v>20</v>
          </cell>
          <cell r="L3">
            <v>2</v>
          </cell>
          <cell r="M3">
            <v>2</v>
          </cell>
        </row>
        <row r="5">
          <cell r="C5" t="str">
            <v>Mass</v>
          </cell>
          <cell r="F5" t="str">
            <v>aem</v>
          </cell>
          <cell r="G5">
            <v>24.020472000000002</v>
          </cell>
          <cell r="H5">
            <v>24.020472000000002</v>
          </cell>
          <cell r="I5">
            <v>24.020472000000002</v>
          </cell>
          <cell r="J5">
            <v>47.952534</v>
          </cell>
          <cell r="K5">
            <v>47.952534</v>
          </cell>
          <cell r="L5">
            <v>4.0026029999999997</v>
          </cell>
          <cell r="M5">
            <v>4.0026029999999997</v>
          </cell>
        </row>
        <row r="6">
          <cell r="C6" t="str">
            <v>MassExcess</v>
          </cell>
          <cell r="F6" t="str">
            <v>MeV</v>
          </cell>
          <cell r="G6">
            <v>19.069551719041492</v>
          </cell>
          <cell r="H6">
            <v>19.069551719041492</v>
          </cell>
          <cell r="I6">
            <v>19.069551719041492</v>
          </cell>
          <cell r="J6">
            <v>-44.214309393120011</v>
          </cell>
          <cell r="K6">
            <v>-44.214309393120011</v>
          </cell>
          <cell r="L6">
            <v>2.4246797149597104</v>
          </cell>
          <cell r="M6">
            <v>2.4246797149597104</v>
          </cell>
        </row>
        <row r="7">
          <cell r="C7" t="str">
            <v>Ap^(1/3)</v>
          </cell>
          <cell r="E7" t="str">
            <v>Ap^(1/3)</v>
          </cell>
          <cell r="G7">
            <v>2.8844991406148166</v>
          </cell>
          <cell r="H7">
            <v>2.8844991406148166</v>
          </cell>
          <cell r="I7">
            <v>2.8844991406148166</v>
          </cell>
          <cell r="J7">
            <v>3.6342411856642789</v>
          </cell>
          <cell r="K7">
            <v>3.6342411856642789</v>
          </cell>
          <cell r="L7">
            <v>1.5874010519681994</v>
          </cell>
          <cell r="M7">
            <v>1.5874010519681994</v>
          </cell>
        </row>
        <row r="8">
          <cell r="C8" t="str">
            <v>equivalent sharp radius(calc)</v>
          </cell>
          <cell r="D8" t="str">
            <v>Wilcke</v>
          </cell>
          <cell r="E8" t="str">
            <v>1.28*Ap3-0.76+0.8/Ap3</v>
          </cell>
          <cell r="F8" t="str">
            <v>fm</v>
          </cell>
          <cell r="G8">
            <v>3.209503409727219</v>
          </cell>
          <cell r="H8">
            <v>3.209503409727219</v>
          </cell>
          <cell r="I8">
            <v>3.209503409727219</v>
          </cell>
          <cell r="J8">
            <v>4.1119572009099192</v>
          </cell>
          <cell r="K8">
            <v>4.1119572009099192</v>
          </cell>
          <cell r="L8">
            <v>1.7758417664772443</v>
          </cell>
          <cell r="M8">
            <v>1.7758417664772443</v>
          </cell>
        </row>
        <row r="9">
          <cell r="C9" t="str">
            <v>equivalent sharp radius(calc)</v>
          </cell>
          <cell r="D9" t="str">
            <v>Hodgson</v>
          </cell>
          <cell r="E9" t="str">
            <v>(1.13+0.0002*Ap)*Ap3</v>
          </cell>
          <cell r="F9" t="str">
            <v>fm</v>
          </cell>
          <cell r="G9">
            <v>3.2733296247696932</v>
          </cell>
          <cell r="H9">
            <v>3.2733296247696932</v>
          </cell>
          <cell r="I9">
            <v>3.2733296247696932</v>
          </cell>
          <cell r="J9">
            <v>4.141581255183012</v>
          </cell>
          <cell r="K9">
            <v>4.141581255183012</v>
          </cell>
          <cell r="L9">
            <v>1.7950331095656396</v>
          </cell>
          <cell r="M9">
            <v>1.7950331095656396</v>
          </cell>
        </row>
        <row r="10">
          <cell r="C10" t="str">
            <v>matter half-density radius(calc)</v>
          </cell>
          <cell r="D10" t="str">
            <v>Wilcke</v>
          </cell>
          <cell r="E10" t="str">
            <v>Rp*(1-(1/Rp)^2)</v>
          </cell>
          <cell r="F10" t="str">
            <v>fm</v>
          </cell>
          <cell r="G10">
            <v>2.8979287290556717</v>
          </cell>
          <cell r="H10">
            <v>2.8979287290556717</v>
          </cell>
          <cell r="I10">
            <v>2.8979287290556717</v>
          </cell>
          <cell r="J10">
            <v>3.868764008194121</v>
          </cell>
          <cell r="K10">
            <v>3.868764008194121</v>
          </cell>
          <cell r="L10">
            <v>1.2127285325860793</v>
          </cell>
          <cell r="M10">
            <v>1.2127285325860793</v>
          </cell>
        </row>
        <row r="11">
          <cell r="C11" t="str">
            <v>matter half-density radius(calc)</v>
          </cell>
          <cell r="D11" t="str">
            <v>Hodgson</v>
          </cell>
          <cell r="E11" t="str">
            <v>Rp1*(1-(1/Rp1)^2)</v>
          </cell>
          <cell r="F11" t="str">
            <v>fm</v>
          </cell>
          <cell r="G11">
            <v>2.9678302969803756</v>
          </cell>
          <cell r="H11">
            <v>2.9678302969803756</v>
          </cell>
          <cell r="I11">
            <v>2.9678302969803756</v>
          </cell>
          <cell r="J11">
            <v>3.9001275836539206</v>
          </cell>
          <cell r="K11">
            <v>3.9001275836539206</v>
          </cell>
          <cell r="L11">
            <v>1.2379403213206479</v>
          </cell>
          <cell r="M11">
            <v>1.2379403213206479</v>
          </cell>
        </row>
        <row r="14">
          <cell r="C14" t="str">
            <v xml:space="preserve">  </v>
          </cell>
          <cell r="E14" t="str">
            <v xml:space="preserve">  </v>
          </cell>
          <cell r="F14" t="str">
            <v xml:space="preserve">  </v>
          </cell>
          <cell r="G14">
            <v>2</v>
          </cell>
          <cell r="H14">
            <v>2</v>
          </cell>
          <cell r="I14">
            <v>2</v>
          </cell>
          <cell r="J14">
            <v>9</v>
          </cell>
          <cell r="K14">
            <v>9</v>
          </cell>
          <cell r="L14">
            <v>22</v>
          </cell>
          <cell r="M14">
            <v>22</v>
          </cell>
        </row>
        <row r="15">
          <cell r="C15" t="str">
            <v xml:space="preserve">  </v>
          </cell>
          <cell r="E15" t="str">
            <v xml:space="preserve">  </v>
          </cell>
          <cell r="F15" t="str">
            <v xml:space="preserve">  </v>
          </cell>
          <cell r="G15">
            <v>1</v>
          </cell>
          <cell r="H15">
            <v>1</v>
          </cell>
          <cell r="I15">
            <v>1</v>
          </cell>
          <cell r="J15">
            <v>4</v>
          </cell>
          <cell r="K15">
            <v>4</v>
          </cell>
          <cell r="L15">
            <v>10</v>
          </cell>
          <cell r="M15">
            <v>10</v>
          </cell>
        </row>
        <row r="17">
          <cell r="C17" t="str">
            <v>Mass</v>
          </cell>
          <cell r="F17" t="str">
            <v>aem</v>
          </cell>
          <cell r="G17">
            <v>2.0141010000000001</v>
          </cell>
          <cell r="H17">
            <v>2.0141010000000001</v>
          </cell>
          <cell r="I17">
            <v>2.0141010000000001</v>
          </cell>
          <cell r="J17">
            <v>9.0121819999999992</v>
          </cell>
          <cell r="K17">
            <v>9.0121819999999992</v>
          </cell>
          <cell r="L17">
            <v>21.991385000000001</v>
          </cell>
          <cell r="M17">
            <v>21.991385000000001</v>
          </cell>
        </row>
        <row r="18">
          <cell r="C18" t="str">
            <v>MassExcess</v>
          </cell>
          <cell r="F18" t="str">
            <v>MeV</v>
          </cell>
          <cell r="G18">
            <v>13.135001406320132</v>
          </cell>
          <cell r="H18">
            <v>13.135001406320132</v>
          </cell>
          <cell r="I18">
            <v>13.135001406320132</v>
          </cell>
          <cell r="J18">
            <v>11.347463806239301</v>
          </cell>
          <cell r="K18">
            <v>11.347463806239301</v>
          </cell>
          <cell r="L18">
            <v>-8.024823566799002</v>
          </cell>
          <cell r="M18">
            <v>-8.024823566799002</v>
          </cell>
        </row>
        <row r="19">
          <cell r="C19" t="str">
            <v>At^(1/3)</v>
          </cell>
          <cell r="E19" t="str">
            <v>At^(1/3)</v>
          </cell>
          <cell r="G19">
            <v>1.2599210498948732</v>
          </cell>
          <cell r="H19">
            <v>1.2599210498948732</v>
          </cell>
          <cell r="I19">
            <v>1.2599210498948732</v>
          </cell>
          <cell r="J19">
            <v>2.0800838230519041</v>
          </cell>
          <cell r="K19">
            <v>2.0800838230519041</v>
          </cell>
          <cell r="L19">
            <v>2.8020393306553872</v>
          </cell>
          <cell r="M19">
            <v>2.8020393306553872</v>
          </cell>
        </row>
        <row r="20">
          <cell r="C20" t="str">
            <v>equivalent sharp radius(calc)</v>
          </cell>
          <cell r="D20" t="str">
            <v>Wilcke</v>
          </cell>
          <cell r="E20" t="str">
            <v>1.28*At3-0.76+0.8/At3</v>
          </cell>
          <cell r="F20" t="str">
            <v>fm</v>
          </cell>
          <cell r="G20">
            <v>1.4876593646527176</v>
          </cell>
          <cell r="H20">
            <v>1.4876593646527176</v>
          </cell>
          <cell r="I20">
            <v>1.4876593646527176</v>
          </cell>
          <cell r="J20">
            <v>2.2871071789217461</v>
          </cell>
          <cell r="K20">
            <v>2.2871071789217461</v>
          </cell>
          <cell r="L20">
            <v>3.112116685440339</v>
          </cell>
          <cell r="M20">
            <v>3.112116685440339</v>
          </cell>
        </row>
        <row r="21">
          <cell r="C21" t="str">
            <v>equivalent sharp radius(calc)</v>
          </cell>
          <cell r="D21" t="str">
            <v>Hodgson</v>
          </cell>
          <cell r="E21" t="str">
            <v>(1.13+0.0002*At)*At3</v>
          </cell>
          <cell r="F21" t="str">
            <v>fm</v>
          </cell>
          <cell r="G21">
            <v>1.4242147548011646</v>
          </cell>
          <cell r="H21">
            <v>1.4242147548011646</v>
          </cell>
          <cell r="I21">
            <v>1.4242147548011646</v>
          </cell>
          <cell r="J21">
            <v>2.3542388709301449</v>
          </cell>
          <cell r="K21">
            <v>2.3542388709301449</v>
          </cell>
          <cell r="L21">
            <v>3.1786334166954711</v>
          </cell>
          <cell r="M21">
            <v>3.1786334166954711</v>
          </cell>
        </row>
        <row r="22">
          <cell r="C22" t="str">
            <v>matter half-density radius(calc)</v>
          </cell>
          <cell r="D22" t="str">
            <v>Wilcke</v>
          </cell>
          <cell r="E22" t="str">
            <v>Rt*(1-(1/Rt)^2)</v>
          </cell>
          <cell r="F22" t="str">
            <v>fm</v>
          </cell>
          <cell r="G22">
            <v>0.81546247350926548</v>
          </cell>
          <cell r="H22">
            <v>0.81546247350926548</v>
          </cell>
          <cell r="I22">
            <v>0.81546247350926548</v>
          </cell>
          <cell r="J22">
            <v>1.849873625017443</v>
          </cell>
          <cell r="K22">
            <v>1.849873625017443</v>
          </cell>
          <cell r="L22">
            <v>2.7907919726882819</v>
          </cell>
          <cell r="M22">
            <v>2.7907919726882819</v>
          </cell>
        </row>
        <row r="23">
          <cell r="C23" t="str">
            <v>matter half-density radius(calc)</v>
          </cell>
          <cell r="D23" t="str">
            <v>Hodgson</v>
          </cell>
          <cell r="E23" t="str">
            <v>Rt1*(1-(1/Rt1)^2)</v>
          </cell>
          <cell r="F23" t="str">
            <v>fm</v>
          </cell>
          <cell r="G23">
            <v>0.722073454390602</v>
          </cell>
          <cell r="H23">
            <v>0.722073454390602</v>
          </cell>
          <cell r="I23">
            <v>0.722073454390602</v>
          </cell>
          <cell r="J23">
            <v>1.9294731377890102</v>
          </cell>
          <cell r="K23">
            <v>1.9294731377890102</v>
          </cell>
          <cell r="L23">
            <v>2.8640328104262505</v>
          </cell>
          <cell r="M23">
            <v>2.8640328104262505</v>
          </cell>
        </row>
        <row r="26">
          <cell r="C26" t="str">
            <v xml:space="preserve"> </v>
          </cell>
          <cell r="E26" t="str">
            <v>Ap+At</v>
          </cell>
          <cell r="F26" t="str">
            <v xml:space="preserve"> </v>
          </cell>
          <cell r="G26">
            <v>26</v>
          </cell>
          <cell r="H26">
            <v>26</v>
          </cell>
          <cell r="I26">
            <v>26</v>
          </cell>
          <cell r="J26">
            <v>57</v>
          </cell>
          <cell r="K26">
            <v>57</v>
          </cell>
          <cell r="L26">
            <v>26</v>
          </cell>
          <cell r="M26">
            <v>26</v>
          </cell>
        </row>
        <row r="27">
          <cell r="C27" t="str">
            <v xml:space="preserve"> </v>
          </cell>
          <cell r="E27" t="str">
            <v>Zp+Zt</v>
          </cell>
          <cell r="F27" t="str">
            <v xml:space="preserve"> </v>
          </cell>
          <cell r="G27">
            <v>9</v>
          </cell>
          <cell r="H27">
            <v>9</v>
          </cell>
          <cell r="I27">
            <v>9</v>
          </cell>
          <cell r="J27">
            <v>24</v>
          </cell>
          <cell r="K27">
            <v>24</v>
          </cell>
          <cell r="L27">
            <v>12</v>
          </cell>
          <cell r="M27">
            <v>12</v>
          </cell>
        </row>
        <row r="30">
          <cell r="C30" t="str">
            <v>MassExcess</v>
          </cell>
          <cell r="F30" t="str">
            <v>MeV</v>
          </cell>
          <cell r="G30">
            <v>18.269398098159684</v>
          </cell>
          <cell r="H30">
            <v>18.269398098159684</v>
          </cell>
          <cell r="I30">
            <v>18.269398098159684</v>
          </cell>
          <cell r="J30">
            <v>-52.524170221840798</v>
          </cell>
          <cell r="K30">
            <v>-52.524170221840798</v>
          </cell>
          <cell r="L30">
            <v>-16.215453122559669</v>
          </cell>
          <cell r="M30">
            <v>-16.215453122559669</v>
          </cell>
        </row>
        <row r="31">
          <cell r="C31" t="str">
            <v>ground state Q-value for fusion</v>
          </cell>
          <cell r="E31" t="str">
            <v>dEt+dEp-dEcomp</v>
          </cell>
          <cell r="F31" t="str">
            <v>MeV</v>
          </cell>
          <cell r="G31">
            <v>13.935155027201944</v>
          </cell>
          <cell r="H31">
            <v>13.935155027201944</v>
          </cell>
          <cell r="I31">
            <v>13.935155027201944</v>
          </cell>
          <cell r="J31">
            <v>19.657324634960084</v>
          </cell>
          <cell r="K31">
            <v>19.657324634960084</v>
          </cell>
          <cell r="L31">
            <v>10.615309270720378</v>
          </cell>
          <cell r="M31">
            <v>10.615309270720378</v>
          </cell>
        </row>
        <row r="33">
          <cell r="C33" t="str">
            <v>Ac^(1/3)</v>
          </cell>
          <cell r="E33" t="str">
            <v>Ac^(1/3)</v>
          </cell>
          <cell r="G33">
            <v>2.9624960684073702</v>
          </cell>
          <cell r="H33">
            <v>2.9624960684073702</v>
          </cell>
          <cell r="I33">
            <v>2.9624960684073702</v>
          </cell>
          <cell r="J33">
            <v>3.8485011312768047</v>
          </cell>
          <cell r="K33">
            <v>3.8485011312768047</v>
          </cell>
          <cell r="L33">
            <v>2.9624960684073702</v>
          </cell>
          <cell r="M33">
            <v>2.9624960684073702</v>
          </cell>
        </row>
        <row r="34">
          <cell r="C34" t="str">
            <v>At^(1/3)+Ap^(1/3)</v>
          </cell>
          <cell r="E34" t="str">
            <v>At3+Ap3</v>
          </cell>
          <cell r="G34">
            <v>4.14442019050969</v>
          </cell>
          <cell r="H34">
            <v>4.14442019050969</v>
          </cell>
          <cell r="I34">
            <v>4.14442019050969</v>
          </cell>
          <cell r="J34">
            <v>5.714325008716183</v>
          </cell>
          <cell r="K34">
            <v>5.714325008716183</v>
          </cell>
          <cell r="L34">
            <v>4.3894403826235866</v>
          </cell>
          <cell r="M34">
            <v>4.3894403826235866</v>
          </cell>
        </row>
        <row r="35">
          <cell r="C35" t="str">
            <v>sum Rt and Rp</v>
          </cell>
          <cell r="E35" t="str">
            <v>Rt+Rp</v>
          </cell>
          <cell r="F35" t="str">
            <v>fm</v>
          </cell>
          <cell r="G35">
            <v>4.6971627743799367</v>
          </cell>
          <cell r="H35">
            <v>4.6971627743799367</v>
          </cell>
          <cell r="I35">
            <v>4.6971627743799367</v>
          </cell>
          <cell r="J35">
            <v>6.3990643798316658</v>
          </cell>
          <cell r="K35">
            <v>6.3990643798316658</v>
          </cell>
          <cell r="L35">
            <v>4.8879584519175836</v>
          </cell>
          <cell r="M35">
            <v>4.8879584519175836</v>
          </cell>
        </row>
        <row r="36">
          <cell r="C36" t="str">
            <v>interaction radius</v>
          </cell>
          <cell r="D36" t="str">
            <v>Wilcke</v>
          </cell>
          <cell r="E36" t="str">
            <v>Ct+Cp+4.49-(Ct+Cp)/6.35</v>
          </cell>
          <cell r="F36" t="str">
            <v>fm</v>
          </cell>
          <cell r="G36">
            <v>7.6186051864129789</v>
          </cell>
          <cell r="H36">
            <v>7.6186051864129789</v>
          </cell>
          <cell r="I36">
            <v>7.6186051864129789</v>
          </cell>
          <cell r="J36">
            <v>9.3080647775876955</v>
          </cell>
          <cell r="K36">
            <v>9.3080647775876955</v>
          </cell>
          <cell r="L36">
            <v>7.8630448351524143</v>
          </cell>
          <cell r="M36">
            <v>7.8630448351524143</v>
          </cell>
        </row>
        <row r="39">
          <cell r="C39" t="str">
            <v>fusion barrier radius for s-wav.</v>
          </cell>
          <cell r="D39" t="str">
            <v>Wilcke</v>
          </cell>
          <cell r="E39" t="str">
            <v>Rint-0.3117*(Zp*Zt)^(0.2122)</v>
          </cell>
          <cell r="F39" t="str">
            <v>fm</v>
          </cell>
          <cell r="G39">
            <v>7.1340173625447871</v>
          </cell>
          <cell r="H39">
            <v>7.1340173625447871</v>
          </cell>
          <cell r="I39">
            <v>7.1340173625447871</v>
          </cell>
          <cell r="J39">
            <v>8.5181640797259703</v>
          </cell>
          <cell r="K39">
            <v>8.5181640797259703</v>
          </cell>
          <cell r="L39">
            <v>7.2744514630912631</v>
          </cell>
          <cell r="M39">
            <v>7.2744514630912631</v>
          </cell>
        </row>
        <row r="40">
          <cell r="C40" t="str">
            <v>coulomb radius from "LNP"</v>
          </cell>
          <cell r="D40" t="str">
            <v>LNP</v>
          </cell>
          <cell r="E40" t="str">
            <v>0.5+1.36*AtAp3</v>
          </cell>
          <cell r="F40" t="str">
            <v>fm</v>
          </cell>
          <cell r="G40">
            <v>6.1364114590931784</v>
          </cell>
          <cell r="H40">
            <v>6.1364114590931784</v>
          </cell>
          <cell r="I40">
            <v>6.1364114590931784</v>
          </cell>
          <cell r="J40">
            <v>8.2714820118540082</v>
          </cell>
          <cell r="K40">
            <v>8.2714820118540082</v>
          </cell>
          <cell r="L40">
            <v>6.4696389203680784</v>
          </cell>
          <cell r="M40">
            <v>6.4696389203680784</v>
          </cell>
        </row>
        <row r="43">
          <cell r="C43" t="str">
            <v>BSS Coulomb pot. at r=Rint</v>
          </cell>
          <cell r="E43" t="str">
            <v>1.438*Zp*Zt/Rint</v>
          </cell>
          <cell r="F43" t="str">
            <v>MeV</v>
          </cell>
          <cell r="G43">
            <v>1.5099876839025907</v>
          </cell>
          <cell r="H43">
            <v>1.5099876839025907</v>
          </cell>
          <cell r="I43">
            <v>1.5099876839025907</v>
          </cell>
          <cell r="J43">
            <v>12.359174839113452</v>
          </cell>
          <cell r="K43">
            <v>12.359174839113452</v>
          </cell>
          <cell r="L43">
            <v>3.6576161783315744</v>
          </cell>
          <cell r="M43">
            <v>3.6576161783315744</v>
          </cell>
        </row>
        <row r="44">
          <cell r="C44" t="str">
            <v>BSS Coulomb pot. at r=Rc</v>
          </cell>
          <cell r="E44" t="str">
            <v>1.438*Zp*Zt/Rc</v>
          </cell>
          <cell r="F44" t="str">
            <v>MeV</v>
          </cell>
          <cell r="G44">
            <v>1.8747113156750457</v>
          </cell>
          <cell r="H44">
            <v>1.8747113156750457</v>
          </cell>
          <cell r="I44">
            <v>1.8747113156750457</v>
          </cell>
          <cell r="J44">
            <v>13.908027586245623</v>
          </cell>
          <cell r="K44">
            <v>13.908027586245623</v>
          </cell>
          <cell r="L44">
            <v>4.4453794646029099</v>
          </cell>
          <cell r="M44">
            <v>4.4453794646029099</v>
          </cell>
        </row>
        <row r="48">
          <cell r="C48" t="str">
            <v xml:space="preserve">  </v>
          </cell>
          <cell r="E48" t="str">
            <v xml:space="preserve">  </v>
          </cell>
          <cell r="F48" t="str">
            <v>MeV</v>
          </cell>
          <cell r="G48">
            <v>120.10236</v>
          </cell>
          <cell r="H48">
            <v>240.20472000000001</v>
          </cell>
          <cell r="I48">
            <v>480.40944000000002</v>
          </cell>
          <cell r="J48">
            <v>959.05068000000006</v>
          </cell>
          <cell r="K48">
            <v>1438.57602</v>
          </cell>
          <cell r="L48">
            <v>20.013014999999999</v>
          </cell>
          <cell r="M48">
            <v>40.026029999999999</v>
          </cell>
        </row>
        <row r="49">
          <cell r="C49" t="str">
            <v>Energy  per nucleon</v>
          </cell>
          <cell r="E49" t="str">
            <v>Elab / Ap</v>
          </cell>
          <cell r="F49" t="str">
            <v>MeV / u</v>
          </cell>
          <cell r="G49">
            <v>5</v>
          </cell>
          <cell r="H49">
            <v>10</v>
          </cell>
          <cell r="I49">
            <v>20</v>
          </cell>
          <cell r="J49">
            <v>20</v>
          </cell>
          <cell r="K49">
            <v>30</v>
          </cell>
          <cell r="L49">
            <v>5</v>
          </cell>
          <cell r="M49">
            <v>10</v>
          </cell>
        </row>
        <row r="50">
          <cell r="C50" t="str">
            <v>Energy SCM</v>
          </cell>
          <cell r="E50" t="str">
            <v>Mt*Elab/ (Mt+Mp)</v>
          </cell>
          <cell r="F50" t="str">
            <v>MeV</v>
          </cell>
          <cell r="G50">
            <v>9.2914250361763191</v>
          </cell>
          <cell r="H50">
            <v>18.582850072352638</v>
          </cell>
          <cell r="I50">
            <v>37.165700144705276</v>
          </cell>
          <cell r="J50">
            <v>151.72794463477638</v>
          </cell>
          <cell r="K50">
            <v>227.59191695216458</v>
          </cell>
          <cell r="L50">
            <v>16.931373434340856</v>
          </cell>
          <cell r="M50">
            <v>33.862746868681711</v>
          </cell>
        </row>
        <row r="52">
          <cell r="C52" t="str">
            <v>coulomb parameter</v>
          </cell>
          <cell r="D52" t="str">
            <v>Wilcke</v>
          </cell>
          <cell r="E52" t="str">
            <v>Zp*Zt*e*e/h/v</v>
          </cell>
          <cell r="F52" t="str">
            <v xml:space="preserve">  </v>
          </cell>
          <cell r="G52">
            <v>0.56334602197938699</v>
          </cell>
          <cell r="H52">
            <v>0.39834579229609041</v>
          </cell>
          <cell r="I52">
            <v>0.2816730109896935</v>
          </cell>
          <cell r="J52">
            <v>2.8167301098969344</v>
          </cell>
          <cell r="K52">
            <v>2.2998505041270252</v>
          </cell>
          <cell r="L52">
            <v>1.4083650549484672</v>
          </cell>
          <cell r="M52">
            <v>0.99586448074022593</v>
          </cell>
        </row>
        <row r="53">
          <cell r="C53" t="str">
            <v>asym. wave number in the CMS</v>
          </cell>
          <cell r="D53" t="str">
            <v>Wilcke</v>
          </cell>
          <cell r="E53" t="str">
            <v>(2*mu*m_nuclon*Ecm/h/h)^(1/2)</v>
          </cell>
          <cell r="F53" t="str">
            <v>1  /  fm</v>
          </cell>
          <cell r="G53">
            <v>0.90875352442721169</v>
          </cell>
          <cell r="H53">
            <v>1.2851715590993127</v>
          </cell>
          <cell r="I53">
            <v>1.8175070488544234</v>
          </cell>
          <cell r="J53">
            <v>7.4199223425954006</v>
          </cell>
          <cell r="K53">
            <v>9.0875118352175814</v>
          </cell>
          <cell r="L53">
            <v>1.6559833633638685</v>
          </cell>
          <cell r="M53">
            <v>2.3419141315333958</v>
          </cell>
        </row>
        <row r="55">
          <cell r="C55" t="str">
            <v>quarterpoint angle in the CMS</v>
          </cell>
          <cell r="D55" t="str">
            <v>Wilcke</v>
          </cell>
          <cell r="E55" t="str">
            <v>2*arcsin(ETA/(k*Rint-ETA))</v>
          </cell>
          <cell r="F55" t="str">
            <v>deg</v>
          </cell>
          <cell r="G55">
            <v>10.163288103851118</v>
          </cell>
          <cell r="H55">
            <v>4.8612154616276637</v>
          </cell>
          <cell r="I55">
            <v>2.3795948303557806</v>
          </cell>
          <cell r="J55">
            <v>4.8736404666035229</v>
          </cell>
          <cell r="K55">
            <v>3.2031405006876463</v>
          </cell>
          <cell r="L55">
            <v>13.931723195314765</v>
          </cell>
          <cell r="M55">
            <v>6.5550155405684611</v>
          </cell>
        </row>
        <row r="56">
          <cell r="C56" t="str">
            <v>grazing angle in the CMS(LNF)</v>
          </cell>
          <cell r="D56" t="str">
            <v>LNF</v>
          </cell>
          <cell r="E56" t="str">
            <v>2*ATAN( ETA / Lmax )</v>
          </cell>
          <cell r="F56" t="str">
            <v>deg</v>
          </cell>
          <cell r="G56">
            <v>10.163288103851118</v>
          </cell>
          <cell r="H56">
            <v>4.8612154616276637</v>
          </cell>
          <cell r="I56">
            <v>2.3795948303557806</v>
          </cell>
          <cell r="J56">
            <v>4.8736404666035229</v>
          </cell>
          <cell r="K56">
            <v>3.2031405006876472</v>
          </cell>
          <cell r="L56">
            <v>13.931723195314765</v>
          </cell>
          <cell r="M56">
            <v>6.5550155405684611</v>
          </cell>
        </row>
        <row r="58">
          <cell r="C58" t="str">
            <v>crit.ang.momentum for fusion</v>
          </cell>
          <cell r="E58" t="str">
            <v>k*RtRp*(1-2a/RtRp)^0.5-0.5</v>
          </cell>
          <cell r="F58" t="str">
            <v>h/2pi</v>
          </cell>
          <cell r="G58">
            <v>3.162140875046112</v>
          </cell>
          <cell r="H58">
            <v>5.1242250846908304</v>
          </cell>
          <cell r="I58">
            <v>7.7506467523721856</v>
          </cell>
          <cell r="J58">
            <v>44.074923445278003</v>
          </cell>
          <cell r="K58">
            <v>55.304351312117852</v>
          </cell>
          <cell r="L58">
            <v>6.0359984188469031</v>
          </cell>
          <cell r="M58">
            <v>9.9037603081722896</v>
          </cell>
        </row>
        <row r="59">
          <cell r="C59" t="str">
            <v>graz.ang.momentum by QP-CM</v>
          </cell>
          <cell r="D59" t="str">
            <v>Wilcke</v>
          </cell>
          <cell r="E59" t="str">
            <v>ETA*cot(QP-CM/2)</v>
          </cell>
          <cell r="F59" t="str">
            <v>h/2pi</v>
          </cell>
          <cell r="G59">
            <v>6.3350899241094032</v>
          </cell>
          <cell r="H59">
            <v>9.3844183118603226</v>
          </cell>
          <cell r="I59">
            <v>13.562270918354091</v>
          </cell>
          <cell r="J59">
            <v>66.188480147917801</v>
          </cell>
          <cell r="K59">
            <v>82.255152746285106</v>
          </cell>
          <cell r="L59">
            <v>11.526988213788732</v>
          </cell>
          <cell r="M59">
            <v>17.390220197812297</v>
          </cell>
        </row>
        <row r="64">
          <cell r="C64" t="str">
            <v>dist.of cl.appr. in the graz.angle</v>
          </cell>
          <cell r="E64" t="str">
            <v>a*(1+cosec((QP-CM/2))</v>
          </cell>
          <cell r="F64" t="str">
            <v>fm</v>
          </cell>
          <cell r="G64">
            <v>4.1330664182783945</v>
          </cell>
          <cell r="H64">
            <v>3.9675709584492092</v>
          </cell>
          <cell r="I64">
            <v>3.887596193575261</v>
          </cell>
          <cell r="J64">
            <v>4.8478815796247057</v>
          </cell>
          <cell r="K64">
            <v>4.7823408129200979</v>
          </cell>
          <cell r="L64">
            <v>4.3828314940483519</v>
          </cell>
          <cell r="M64">
            <v>4.1502328909795381</v>
          </cell>
        </row>
        <row r="66">
          <cell r="E66" t="str">
            <v>197/sqrt(2*Ap*931*Elab)</v>
          </cell>
          <cell r="F66" t="str">
            <v>fm</v>
          </cell>
          <cell r="G66">
            <v>8.5034467477728429E-2</v>
          </cell>
          <cell r="H66">
            <v>6.0128448588088704E-2</v>
          </cell>
          <cell r="I66">
            <v>4.2517233738864214E-2</v>
          </cell>
          <cell r="J66">
            <v>2.1278205081592633E-2</v>
          </cell>
          <cell r="K66">
            <v>1.7373581697399353E-2</v>
          </cell>
          <cell r="L66">
            <v>0.5102583633710206</v>
          </cell>
          <cell r="M66">
            <v>0.36080714889679816</v>
          </cell>
        </row>
      </sheetData>
      <sheetData sheetId="6"/>
      <sheetData sheetId="7"/>
      <sheetData sheetId="8"/>
      <sheetData sheetId="9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05-01T05:17:44.29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0,'9'0,"3"0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1:BA33"/>
  <sheetViews>
    <sheetView showGridLines="0" tabSelected="1" zoomScale="85" zoomScaleNormal="85" workbookViewId="0">
      <selection activeCell="O5" sqref="O5"/>
    </sheetView>
  </sheetViews>
  <sheetFormatPr defaultRowHeight="12.75" x14ac:dyDescent="0.2"/>
  <cols>
    <col min="1" max="2" width="1.5703125" style="1" customWidth="1"/>
    <col min="3" max="3" width="17.7109375" style="3" customWidth="1"/>
    <col min="4" max="4" width="10.5703125" style="1" customWidth="1"/>
    <col min="5" max="5" width="9.140625" style="1"/>
    <col min="6" max="6" width="5.42578125" style="1" customWidth="1"/>
    <col min="7" max="7" width="18.140625" style="1" customWidth="1"/>
    <col min="8" max="8" width="12.42578125" style="1" customWidth="1"/>
    <col min="9" max="9" width="8.7109375" style="1" customWidth="1"/>
    <col min="10" max="10" width="2" style="1" customWidth="1"/>
    <col min="11" max="11" width="3.28515625" style="1" customWidth="1"/>
    <col min="12" max="12" width="2.28515625" style="1" customWidth="1"/>
    <col min="13" max="13" width="12" style="2" customWidth="1"/>
    <col min="14" max="14" width="8.5703125" style="2" customWidth="1"/>
    <col min="15" max="15" width="8.140625" style="2" customWidth="1"/>
    <col min="16" max="16" width="6.28515625" style="2" customWidth="1"/>
    <col min="17" max="17" width="11.140625" style="2" customWidth="1"/>
    <col min="18" max="18" width="10.140625" style="2" bestFit="1" customWidth="1"/>
    <col min="19" max="19" width="11.42578125" style="2" customWidth="1"/>
    <col min="20" max="20" width="9.140625" style="2"/>
    <col min="21" max="21" width="7.7109375" style="2" customWidth="1"/>
    <col min="22" max="22" width="9.140625" style="2" customWidth="1"/>
    <col min="23" max="23" width="12.140625" style="2" customWidth="1"/>
    <col min="24" max="24" width="9.140625" style="1"/>
    <col min="25" max="25" width="9.140625" style="2"/>
    <col min="26" max="28" width="9.140625" style="2" hidden="1" customWidth="1"/>
    <col min="29" max="29" width="9.28515625" style="2" customWidth="1"/>
    <col min="30" max="31" width="0.140625" style="2" customWidth="1"/>
    <col min="32" max="32" width="8.7109375" style="2" customWidth="1"/>
    <col min="33" max="33" width="8.5703125" style="2" customWidth="1"/>
    <col min="34" max="34" width="1.140625" style="2" customWidth="1"/>
    <col min="35" max="35" width="1" style="2" customWidth="1"/>
    <col min="36" max="36" width="7.7109375" style="2" customWidth="1"/>
    <col min="37" max="37" width="1.28515625" style="2" customWidth="1"/>
    <col min="38" max="38" width="1.28515625" style="1" customWidth="1"/>
    <col min="39" max="39" width="8.5703125" style="1" customWidth="1"/>
    <col min="40" max="41" width="1" style="1" customWidth="1"/>
    <col min="42" max="42" width="8.42578125" style="1" customWidth="1"/>
    <col min="43" max="44" width="0.85546875" style="1" customWidth="1"/>
    <col min="45" max="45" width="7.7109375" style="1" customWidth="1"/>
    <col min="46" max="46" width="2.5703125" style="1" customWidth="1"/>
    <col min="47" max="48" width="0" style="1" hidden="1" customWidth="1"/>
    <col min="49" max="16384" width="9.140625" style="1"/>
  </cols>
  <sheetData>
    <row r="1" spans="2:53" ht="13.5" thickBot="1" x14ac:dyDescent="0.25">
      <c r="B1" s="114"/>
      <c r="C1" s="116"/>
      <c r="D1" s="114"/>
      <c r="E1" s="114"/>
      <c r="F1" s="114"/>
      <c r="G1" s="114"/>
      <c r="H1" s="114"/>
      <c r="I1" s="114"/>
      <c r="J1" s="114"/>
      <c r="L1" s="114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4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4"/>
      <c r="AM1" s="114"/>
      <c r="AN1" s="114"/>
      <c r="AO1" s="114"/>
      <c r="AP1" s="114"/>
      <c r="AQ1" s="114"/>
      <c r="AR1" s="114"/>
      <c r="AS1" s="114"/>
      <c r="AT1" s="114"/>
    </row>
    <row r="2" spans="2:53" ht="28.5" customHeight="1" x14ac:dyDescent="0.2">
      <c r="B2" s="113"/>
      <c r="C2" s="366" t="s">
        <v>201</v>
      </c>
      <c r="D2" s="366"/>
      <c r="E2" s="366"/>
      <c r="F2" s="366"/>
      <c r="G2" s="366"/>
      <c r="H2" s="366"/>
      <c r="I2" s="366"/>
      <c r="J2" s="111"/>
      <c r="L2" s="113"/>
      <c r="M2" s="371" t="s">
        <v>202</v>
      </c>
      <c r="N2" s="371"/>
      <c r="O2" s="371"/>
      <c r="P2" s="371"/>
      <c r="Q2" s="371"/>
      <c r="R2" s="371"/>
      <c r="S2" s="371"/>
      <c r="T2" s="371"/>
      <c r="U2" s="371"/>
      <c r="V2" s="371"/>
      <c r="W2" s="371"/>
      <c r="X2" s="371"/>
      <c r="Y2" s="371"/>
      <c r="AA2" s="105"/>
      <c r="AB2" s="105"/>
      <c r="AD2" s="105"/>
      <c r="AE2" s="105"/>
      <c r="AF2" s="105"/>
      <c r="AG2" s="105"/>
      <c r="AH2" s="105"/>
      <c r="AI2" s="105"/>
      <c r="AK2" s="105"/>
      <c r="AL2" s="112"/>
      <c r="AM2" s="112"/>
      <c r="AN2" s="123" t="s">
        <v>206</v>
      </c>
      <c r="AO2" s="105"/>
      <c r="AP2" s="112"/>
      <c r="AQ2" s="112"/>
      <c r="AR2" s="112"/>
      <c r="AS2" s="112"/>
      <c r="AT2" s="111"/>
    </row>
    <row r="3" spans="2:53" x14ac:dyDescent="0.2">
      <c r="B3" s="13"/>
      <c r="C3" s="17"/>
      <c r="D3" s="11"/>
      <c r="E3" s="11"/>
      <c r="F3" s="11"/>
      <c r="G3" s="11"/>
      <c r="H3" s="11"/>
      <c r="I3" s="11"/>
      <c r="J3" s="10"/>
      <c r="L3" s="13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1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1"/>
      <c r="AN3" s="11"/>
      <c r="AO3" s="11"/>
      <c r="AP3" s="11"/>
      <c r="AQ3" s="11"/>
      <c r="AR3" s="11"/>
      <c r="AS3" s="11"/>
      <c r="AT3" s="10"/>
    </row>
    <row r="4" spans="2:53" s="11" customFormat="1" ht="14.25" customHeight="1" thickBot="1" x14ac:dyDescent="0.25">
      <c r="B4" s="13"/>
      <c r="C4" s="375" t="s">
        <v>100</v>
      </c>
      <c r="D4" s="376"/>
      <c r="E4" s="377"/>
      <c r="G4" s="375" t="s">
        <v>99</v>
      </c>
      <c r="H4" s="376"/>
      <c r="I4" s="377"/>
      <c r="J4" s="10"/>
      <c r="L4" s="13"/>
      <c r="S4" s="367" t="s">
        <v>100</v>
      </c>
      <c r="T4" s="368"/>
      <c r="U4" s="369"/>
      <c r="W4" s="367" t="s">
        <v>99</v>
      </c>
      <c r="X4" s="368"/>
      <c r="Y4" s="369"/>
      <c r="AL4" s="12"/>
      <c r="AM4" s="411" t="s">
        <v>205</v>
      </c>
      <c r="AT4" s="10"/>
    </row>
    <row r="5" spans="2:53" ht="14.25" customHeight="1" thickTop="1" thickBot="1" x14ac:dyDescent="0.25">
      <c r="B5" s="13"/>
      <c r="C5" s="27" t="s">
        <v>98</v>
      </c>
      <c r="D5" s="74">
        <f>+a_tof_c1</f>
        <v>-1.0535479865281274</v>
      </c>
      <c r="E5" s="25" t="s">
        <v>80</v>
      </c>
      <c r="F5" s="11"/>
      <c r="G5" s="27" t="s">
        <v>97</v>
      </c>
      <c r="H5" s="74">
        <v>-1.1565628488049</v>
      </c>
      <c r="I5" s="25" t="s">
        <v>80</v>
      </c>
      <c r="J5" s="10"/>
      <c r="L5" s="13"/>
      <c r="M5" s="12"/>
      <c r="N5" s="110" t="s">
        <v>96</v>
      </c>
      <c r="O5" s="109">
        <v>3.65</v>
      </c>
      <c r="P5" s="108" t="s">
        <v>95</v>
      </c>
      <c r="Q5" s="12"/>
      <c r="R5" s="12"/>
      <c r="S5" s="92" t="s">
        <v>94</v>
      </c>
      <c r="T5" s="221">
        <v>-1.0535479865281274</v>
      </c>
      <c r="U5" s="103" t="s">
        <v>80</v>
      </c>
      <c r="V5" s="11"/>
      <c r="W5" s="92" t="s">
        <v>93</v>
      </c>
      <c r="X5" s="223" t="str">
        <f>+IF(ISNUMBER(R13),-Q13,"")</f>
        <v/>
      </c>
      <c r="Y5" s="103" t="s">
        <v>80</v>
      </c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248">
        <v>43591</v>
      </c>
      <c r="AN5" s="11"/>
      <c r="AO5" s="11"/>
      <c r="AP5" s="11"/>
      <c r="AQ5" s="11"/>
      <c r="AR5" s="11"/>
      <c r="AS5" s="11"/>
      <c r="AT5" s="10"/>
      <c r="AU5" s="11"/>
      <c r="AV5" s="11"/>
      <c r="AW5" s="11"/>
      <c r="AX5" s="11"/>
      <c r="AY5" s="11"/>
      <c r="AZ5" s="11"/>
      <c r="BA5" s="11"/>
    </row>
    <row r="6" spans="2:53" ht="14.25" customHeight="1" thickBot="1" x14ac:dyDescent="0.25">
      <c r="B6" s="13"/>
      <c r="C6" s="27" t="s">
        <v>92</v>
      </c>
      <c r="D6" s="107">
        <f>+b_tof_c1</f>
        <v>298.7785958505832</v>
      </c>
      <c r="E6" s="25" t="s">
        <v>54</v>
      </c>
      <c r="F6" s="11"/>
      <c r="G6" s="27" t="s">
        <v>91</v>
      </c>
      <c r="H6" s="107">
        <f>+b_tof_c2</f>
        <v>290.00000001544981</v>
      </c>
      <c r="I6" s="25" t="s">
        <v>54</v>
      </c>
      <c r="J6" s="10"/>
      <c r="L6" s="13"/>
      <c r="M6" s="12"/>
      <c r="N6" s="12"/>
      <c r="O6" s="12"/>
      <c r="P6" s="12"/>
      <c r="Q6" s="12"/>
      <c r="R6" s="12"/>
      <c r="S6" s="86" t="s">
        <v>90</v>
      </c>
      <c r="T6" s="106">
        <v>298.7785958505832</v>
      </c>
      <c r="U6" s="98" t="s">
        <v>54</v>
      </c>
      <c r="V6" s="11"/>
      <c r="W6" s="86" t="s">
        <v>89</v>
      </c>
      <c r="X6" s="106">
        <v>290.00000001544981</v>
      </c>
      <c r="Y6" s="98" t="s">
        <v>54</v>
      </c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1"/>
      <c r="AN6" s="11"/>
      <c r="AO6" s="11"/>
      <c r="AP6" s="11"/>
      <c r="AQ6" s="11"/>
      <c r="AR6" s="11"/>
      <c r="AS6" s="11"/>
      <c r="AT6" s="10"/>
      <c r="AU6" s="11"/>
      <c r="AV6" s="11"/>
      <c r="AW6" s="11"/>
      <c r="AX6" s="11"/>
      <c r="AY6" s="11"/>
      <c r="AZ6" s="11"/>
      <c r="BA6" s="11"/>
    </row>
    <row r="7" spans="2:53" ht="14.25" customHeight="1" thickBot="1" x14ac:dyDescent="0.25">
      <c r="B7" s="13"/>
      <c r="C7" s="89" t="s">
        <v>88</v>
      </c>
      <c r="D7" s="88">
        <f>-shift_calc/a_tof</f>
        <v>42.198624530211042</v>
      </c>
      <c r="E7" s="87" t="s">
        <v>86</v>
      </c>
      <c r="F7" s="11"/>
      <c r="G7" s="89" t="s">
        <v>87</v>
      </c>
      <c r="H7" s="88">
        <f>-shift_calc/a_tof2</f>
        <v>38.439999999999941</v>
      </c>
      <c r="I7" s="87" t="s">
        <v>86</v>
      </c>
      <c r="J7" s="10"/>
      <c r="L7" s="13"/>
      <c r="M7" s="12"/>
      <c r="N7" s="12"/>
      <c r="O7" s="12"/>
      <c r="P7" s="12"/>
      <c r="Q7" s="12"/>
      <c r="R7" s="12"/>
      <c r="S7" s="82"/>
      <c r="T7" s="82"/>
      <c r="U7" s="82"/>
      <c r="V7" s="82"/>
      <c r="W7" s="82"/>
      <c r="X7" s="82"/>
      <c r="Y7" s="8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1"/>
      <c r="AN7" s="11"/>
      <c r="AO7" s="11"/>
      <c r="AP7" s="11"/>
      <c r="AQ7" s="11"/>
      <c r="AR7" s="11"/>
      <c r="AS7" s="11"/>
      <c r="AT7" s="10"/>
      <c r="AU7" s="36" t="s">
        <v>11</v>
      </c>
      <c r="AV7" s="21" t="b">
        <v>1</v>
      </c>
      <c r="AW7" s="11"/>
      <c r="AX7" s="11"/>
      <c r="AY7" s="11"/>
      <c r="AZ7" s="11"/>
      <c r="BA7" s="11"/>
    </row>
    <row r="8" spans="2:53" ht="14.25" customHeight="1" thickBot="1" x14ac:dyDescent="0.25">
      <c r="B8" s="13"/>
      <c r="C8" s="322" t="s">
        <v>197</v>
      </c>
      <c r="D8" s="324">
        <v>0</v>
      </c>
      <c r="E8" s="323" t="s">
        <v>86</v>
      </c>
      <c r="F8" s="11"/>
      <c r="G8" s="322" t="s">
        <v>198</v>
      </c>
      <c r="H8" s="324">
        <v>0</v>
      </c>
      <c r="I8" s="323" t="s">
        <v>86</v>
      </c>
      <c r="J8" s="10"/>
      <c r="L8" s="13"/>
      <c r="M8" s="12"/>
      <c r="N8" s="12"/>
      <c r="O8" s="12"/>
      <c r="P8" s="12"/>
      <c r="Q8" s="12"/>
      <c r="R8" s="12"/>
      <c r="S8" s="17"/>
      <c r="T8" s="11"/>
      <c r="U8" s="11"/>
      <c r="V8" s="11"/>
      <c r="W8" s="11"/>
      <c r="X8" s="11"/>
      <c r="Y8" s="11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1"/>
      <c r="AN8" s="11"/>
      <c r="AO8" s="11"/>
      <c r="AP8" s="11"/>
      <c r="AQ8" s="11"/>
      <c r="AR8" s="11"/>
      <c r="AS8" s="11"/>
      <c r="AT8" s="10"/>
      <c r="AU8" s="36" t="s">
        <v>10</v>
      </c>
      <c r="AV8" s="21" t="b">
        <v>0</v>
      </c>
      <c r="AW8" s="11"/>
      <c r="AX8" s="11"/>
      <c r="AY8" s="11"/>
      <c r="AZ8" s="11"/>
      <c r="BA8" s="11"/>
    </row>
    <row r="9" spans="2:53" ht="14.25" customHeight="1" thickBot="1" x14ac:dyDescent="0.25">
      <c r="B9" s="13"/>
      <c r="F9" s="11"/>
      <c r="J9" s="10"/>
      <c r="L9" s="13"/>
      <c r="M9" s="372" t="s">
        <v>85</v>
      </c>
      <c r="N9" s="373"/>
      <c r="O9" s="373"/>
      <c r="P9" s="373"/>
      <c r="Q9" s="374"/>
      <c r="R9" s="12"/>
      <c r="S9" s="367" t="s">
        <v>84</v>
      </c>
      <c r="T9" s="368"/>
      <c r="U9" s="369"/>
      <c r="V9" s="11"/>
      <c r="W9" s="367" t="s">
        <v>83</v>
      </c>
      <c r="X9" s="368"/>
      <c r="Y9" s="369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1"/>
      <c r="AN9" s="11"/>
      <c r="AO9" s="11"/>
      <c r="AP9" s="11"/>
      <c r="AQ9" s="11"/>
      <c r="AR9" s="11"/>
      <c r="AS9" s="11"/>
      <c r="AT9" s="10"/>
      <c r="AU9" s="36" t="s">
        <v>9</v>
      </c>
      <c r="AV9" s="21" t="b">
        <v>1</v>
      </c>
      <c r="AW9" s="11"/>
      <c r="AX9" s="11"/>
      <c r="AY9" s="11"/>
      <c r="AZ9" s="11"/>
      <c r="BA9" s="11"/>
    </row>
    <row r="10" spans="2:53" s="11" customFormat="1" ht="14.25" customHeight="1" thickTop="1" thickBot="1" x14ac:dyDescent="0.25">
      <c r="B10" s="13"/>
      <c r="C10" s="375" t="s">
        <v>84</v>
      </c>
      <c r="D10" s="376"/>
      <c r="E10" s="377"/>
      <c r="G10" s="375" t="s">
        <v>83</v>
      </c>
      <c r="H10" s="376"/>
      <c r="I10" s="377"/>
      <c r="J10" s="10"/>
      <c r="L10" s="13"/>
      <c r="M10" s="61"/>
      <c r="N10" s="12"/>
      <c r="O10" s="12"/>
      <c r="P10" s="12"/>
      <c r="Q10" s="100" t="s">
        <v>80</v>
      </c>
      <c r="S10" s="92" t="s">
        <v>79</v>
      </c>
      <c r="T10" s="91">
        <v>0.11527675556967665</v>
      </c>
      <c r="U10" s="103" t="s">
        <v>77</v>
      </c>
      <c r="W10" s="92" t="s">
        <v>78</v>
      </c>
      <c r="X10" s="104">
        <v>3.9132863305494969</v>
      </c>
      <c r="Y10" s="103" t="s">
        <v>77</v>
      </c>
      <c r="AL10" s="12"/>
      <c r="AT10" s="10"/>
      <c r="AU10" s="36" t="s">
        <v>8</v>
      </c>
      <c r="AV10" s="21" t="b">
        <v>0</v>
      </c>
      <c r="AW10" s="1"/>
      <c r="AX10" s="1"/>
      <c r="AY10" s="1"/>
      <c r="AZ10" s="1"/>
      <c r="BA10" s="1"/>
    </row>
    <row r="11" spans="2:53" ht="14.25" customHeight="1" thickTop="1" thickBot="1" x14ac:dyDescent="0.25">
      <c r="B11" s="13"/>
      <c r="C11" s="27" t="s">
        <v>82</v>
      </c>
      <c r="D11" s="91">
        <f>+a_pin_deC</f>
        <v>0.11527675556967665</v>
      </c>
      <c r="E11" s="25" t="s">
        <v>77</v>
      </c>
      <c r="F11" s="11"/>
      <c r="G11" s="27" t="s">
        <v>81</v>
      </c>
      <c r="H11" s="74">
        <f>+a_sci_deC</f>
        <v>3.9132863305494969</v>
      </c>
      <c r="I11" s="25" t="s">
        <v>77</v>
      </c>
      <c r="J11" s="10"/>
      <c r="L11" s="13"/>
      <c r="M11" s="96" t="s">
        <v>74</v>
      </c>
      <c r="N11" s="101" t="s">
        <v>73</v>
      </c>
      <c r="O11" s="101" t="s">
        <v>72</v>
      </c>
      <c r="P11" s="101" t="s">
        <v>71</v>
      </c>
      <c r="Q11" s="100" t="s">
        <v>70</v>
      </c>
      <c r="R11" s="12"/>
      <c r="S11" s="86" t="s">
        <v>69</v>
      </c>
      <c r="T11" s="282">
        <v>10.610042976284172</v>
      </c>
      <c r="U11" s="98" t="s">
        <v>53</v>
      </c>
      <c r="V11" s="11"/>
      <c r="W11" s="86" t="s">
        <v>68</v>
      </c>
      <c r="X11" s="99">
        <v>21.60874106183795</v>
      </c>
      <c r="Y11" s="98" t="s">
        <v>53</v>
      </c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83"/>
      <c r="AM11" s="82"/>
      <c r="AN11" s="82"/>
      <c r="AO11" s="82"/>
      <c r="AP11" s="82"/>
      <c r="AQ11" s="82"/>
      <c r="AR11" s="82"/>
      <c r="AS11" s="82"/>
      <c r="AT11" s="81"/>
      <c r="AU11" s="35" t="s">
        <v>7</v>
      </c>
      <c r="AV11" s="20" t="b">
        <v>1</v>
      </c>
    </row>
    <row r="12" spans="2:53" ht="14.25" customHeight="1" x14ac:dyDescent="0.2">
      <c r="B12" s="13"/>
      <c r="C12" s="16" t="s">
        <v>76</v>
      </c>
      <c r="D12" s="85">
        <f>+b_pin_deC</f>
        <v>10.610042976284172</v>
      </c>
      <c r="E12" s="14" t="s">
        <v>53</v>
      </c>
      <c r="F12" s="11"/>
      <c r="G12" s="16" t="s">
        <v>75</v>
      </c>
      <c r="H12" s="102">
        <f>+b_sci_deC</f>
        <v>21.60874106183795</v>
      </c>
      <c r="I12" s="14" t="s">
        <v>53</v>
      </c>
      <c r="J12" s="10"/>
      <c r="L12" s="13"/>
      <c r="M12" s="409" t="s">
        <v>204</v>
      </c>
      <c r="N12" s="59">
        <v>23.36</v>
      </c>
      <c r="O12" s="59">
        <v>65.319999999999993</v>
      </c>
      <c r="P12" s="12">
        <f>+O12-N12</f>
        <v>41.959999999999994</v>
      </c>
      <c r="Q12" s="220">
        <f>-shift_calc/P12</f>
        <v>-1.0595394639671185</v>
      </c>
      <c r="R12" s="12"/>
      <c r="S12" s="82"/>
      <c r="T12" s="82"/>
      <c r="U12" s="82"/>
      <c r="V12" s="82"/>
      <c r="W12" s="82"/>
      <c r="X12" s="82"/>
      <c r="Y12" s="8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83"/>
      <c r="AM12" s="82"/>
      <c r="AN12" s="82"/>
      <c r="AO12" s="82"/>
      <c r="AP12" s="82"/>
      <c r="AQ12" s="82"/>
      <c r="AR12" s="82"/>
      <c r="AS12" s="82"/>
      <c r="AT12" s="81"/>
    </row>
    <row r="13" spans="2:53" ht="14.25" customHeight="1" thickBot="1" x14ac:dyDescent="0.25">
      <c r="B13" s="13"/>
      <c r="C13" s="95" t="s">
        <v>67</v>
      </c>
      <c r="D13" s="97" t="s">
        <v>66</v>
      </c>
      <c r="E13" s="93"/>
      <c r="F13" s="11"/>
      <c r="G13" s="11"/>
      <c r="H13" s="11"/>
      <c r="I13" s="11"/>
      <c r="J13" s="10"/>
      <c r="L13" s="13"/>
      <c r="M13" s="410" t="str">
        <f>+IF(modeRF2,"RF-ToF2","")</f>
        <v/>
      </c>
      <c r="N13" s="51"/>
      <c r="O13" s="51"/>
      <c r="P13" s="48">
        <f>+O13-N13</f>
        <v>0</v>
      </c>
      <c r="Q13" s="222" t="str">
        <f>+IF(ISNUMBER(N13:O13),shift_calc/P13,"")</f>
        <v/>
      </c>
      <c r="R13" s="12"/>
      <c r="S13" s="367" t="s">
        <v>58</v>
      </c>
      <c r="T13" s="368"/>
      <c r="U13" s="369"/>
      <c r="V13" s="82"/>
      <c r="W13" s="82"/>
      <c r="X13" s="82"/>
      <c r="Y13" s="8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83"/>
      <c r="AM13" s="82"/>
      <c r="AN13" s="82"/>
      <c r="AO13" s="82"/>
      <c r="AP13" s="82"/>
      <c r="AQ13" s="82"/>
      <c r="AR13" s="82"/>
      <c r="AS13" s="82"/>
      <c r="AT13" s="81"/>
    </row>
    <row r="14" spans="2:53" ht="14.25" customHeight="1" thickBot="1" x14ac:dyDescent="0.3">
      <c r="B14" s="13"/>
      <c r="C14" s="89" t="s">
        <v>65</v>
      </c>
      <c r="D14" s="283">
        <f>[1]!show_Z(Material_pin)</f>
        <v>14</v>
      </c>
      <c r="E14" s="87"/>
      <c r="F14" s="11"/>
      <c r="G14" s="375" t="s">
        <v>63</v>
      </c>
      <c r="H14" s="376"/>
      <c r="I14" s="377"/>
      <c r="J14" s="10"/>
      <c r="L14" s="13"/>
      <c r="M14" s="12"/>
      <c r="N14" s="12"/>
      <c r="O14" s="12"/>
      <c r="P14" s="12"/>
      <c r="Q14" s="12"/>
      <c r="R14" s="12"/>
      <c r="S14" s="92" t="s">
        <v>62</v>
      </c>
      <c r="T14" s="91">
        <v>7.1867712649372812</v>
      </c>
      <c r="U14" s="90"/>
      <c r="V14" s="82"/>
      <c r="W14" s="82"/>
      <c r="X14" s="82"/>
      <c r="Y14" s="8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83"/>
      <c r="AM14" s="82"/>
      <c r="AN14" s="82"/>
      <c r="AO14" s="82"/>
      <c r="AP14" s="82"/>
      <c r="AQ14" s="82"/>
      <c r="AR14" s="82"/>
      <c r="AS14" s="82"/>
      <c r="AT14" s="81"/>
    </row>
    <row r="15" spans="2:53" ht="14.25" customHeight="1" thickTop="1" x14ac:dyDescent="0.2">
      <c r="B15" s="13"/>
      <c r="C15" s="95" t="s">
        <v>150</v>
      </c>
      <c r="D15" s="94">
        <v>122.52</v>
      </c>
      <c r="E15" s="93" t="s">
        <v>64</v>
      </c>
      <c r="F15" s="11"/>
      <c r="G15" s="27" t="s">
        <v>203</v>
      </c>
      <c r="H15" s="65">
        <v>22.492999999999999</v>
      </c>
      <c r="I15" s="25" t="s">
        <v>60</v>
      </c>
      <c r="J15" s="10"/>
      <c r="L15" s="13"/>
      <c r="M15" s="12"/>
      <c r="N15" s="12"/>
      <c r="O15" s="12"/>
      <c r="P15" s="12"/>
      <c r="Q15" s="12"/>
      <c r="R15" s="12"/>
      <c r="S15" s="86" t="s">
        <v>59</v>
      </c>
      <c r="T15" s="85">
        <v>8.8740434053725725E-2</v>
      </c>
      <c r="U15" s="84"/>
      <c r="V15" s="82"/>
      <c r="W15" s="82"/>
      <c r="X15" s="82"/>
      <c r="Y15" s="82"/>
      <c r="Z15" s="12"/>
      <c r="AA15" s="12"/>
      <c r="AB15" s="12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2"/>
      <c r="AN15" s="82"/>
      <c r="AO15" s="82"/>
      <c r="AP15" s="82"/>
      <c r="AQ15" s="82"/>
      <c r="AR15" s="82"/>
      <c r="AS15" s="82"/>
      <c r="AT15" s="81"/>
      <c r="AU15" s="11"/>
      <c r="AV15" s="11"/>
      <c r="AW15" s="11"/>
      <c r="AX15" s="11"/>
      <c r="AY15" s="11"/>
      <c r="AZ15" s="11"/>
      <c r="BA15" s="11"/>
    </row>
    <row r="16" spans="2:53" ht="14.25" customHeight="1" thickBot="1" x14ac:dyDescent="0.3">
      <c r="B16" s="13"/>
      <c r="C16" s="122" t="s">
        <v>149</v>
      </c>
      <c r="D16" s="284">
        <f>[1]!Mg2Mkm(PIN_thick_mg,Z_Material_pin)</f>
        <v>527.83043253489564</v>
      </c>
      <c r="E16" s="87" t="s">
        <v>61</v>
      </c>
      <c r="F16" s="11"/>
      <c r="G16" s="306" t="s">
        <v>195</v>
      </c>
      <c r="H16" s="62">
        <f>1/HF/1000000/0.000000001</f>
        <v>44.458275908060287</v>
      </c>
      <c r="I16" s="25" t="s">
        <v>54</v>
      </c>
      <c r="J16" s="10"/>
      <c r="L16" s="13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1"/>
      <c r="Y16" s="12"/>
      <c r="Z16" s="12"/>
      <c r="AA16" s="12"/>
      <c r="AB16" s="12"/>
      <c r="AC16" s="370" t="s">
        <v>11</v>
      </c>
      <c r="AD16" s="370"/>
      <c r="AE16" s="370"/>
      <c r="AF16" s="370"/>
      <c r="AG16" s="370" t="s">
        <v>10</v>
      </c>
      <c r="AH16" s="370"/>
      <c r="AI16" s="370"/>
      <c r="AJ16" s="370"/>
      <c r="AK16" s="370" t="s">
        <v>9</v>
      </c>
      <c r="AL16" s="370"/>
      <c r="AM16" s="370"/>
      <c r="AN16" s="370" t="s">
        <v>45</v>
      </c>
      <c r="AO16" s="370"/>
      <c r="AP16" s="370"/>
      <c r="AQ16" s="80"/>
      <c r="AR16" s="370" t="s">
        <v>7</v>
      </c>
      <c r="AS16" s="370"/>
      <c r="AT16" s="10"/>
    </row>
    <row r="17" spans="2:46" ht="23.25" customHeight="1" thickBot="1" x14ac:dyDescent="0.25">
      <c r="B17" s="13"/>
      <c r="C17" s="17"/>
      <c r="D17" s="11"/>
      <c r="E17" s="11"/>
      <c r="F17" s="11"/>
      <c r="G17" s="27"/>
      <c r="H17" s="62"/>
      <c r="I17" s="25"/>
      <c r="J17" s="10"/>
      <c r="L17" s="13"/>
      <c r="M17" s="33"/>
      <c r="N17" s="32"/>
      <c r="O17" s="32"/>
      <c r="P17" s="32"/>
      <c r="Q17" s="34" t="s">
        <v>55</v>
      </c>
      <c r="R17" s="34" t="s">
        <v>55</v>
      </c>
      <c r="S17" s="34" t="s">
        <v>55</v>
      </c>
      <c r="T17" s="34" t="s">
        <v>55</v>
      </c>
      <c r="U17" s="34"/>
      <c r="V17" s="34" t="s">
        <v>57</v>
      </c>
      <c r="W17" s="34"/>
      <c r="X17" s="30"/>
      <c r="Y17" s="34" t="s">
        <v>54</v>
      </c>
      <c r="Z17" s="77" t="s">
        <v>57</v>
      </c>
      <c r="AA17" s="34"/>
      <c r="AB17" s="34"/>
      <c r="AC17" s="79" t="s">
        <v>56</v>
      </c>
      <c r="AD17" s="78" t="s">
        <v>55</v>
      </c>
      <c r="AE17" s="34" t="s">
        <v>54</v>
      </c>
      <c r="AF17" s="77" t="s">
        <v>54</v>
      </c>
      <c r="AG17" s="79" t="s">
        <v>56</v>
      </c>
      <c r="AH17" s="78" t="s">
        <v>55</v>
      </c>
      <c r="AI17" s="34" t="s">
        <v>54</v>
      </c>
      <c r="AJ17" s="77" t="s">
        <v>54</v>
      </c>
      <c r="AK17" s="76" t="s">
        <v>53</v>
      </c>
      <c r="AL17" s="34" t="s">
        <v>53</v>
      </c>
      <c r="AM17" s="77" t="s">
        <v>53</v>
      </c>
      <c r="AN17" s="76" t="s">
        <v>53</v>
      </c>
      <c r="AO17" s="34" t="s">
        <v>53</v>
      </c>
      <c r="AP17" s="77" t="s">
        <v>53</v>
      </c>
      <c r="AQ17" s="76"/>
      <c r="AR17" s="30"/>
      <c r="AS17" s="75"/>
      <c r="AT17" s="10"/>
    </row>
    <row r="18" spans="2:46" ht="14.25" customHeight="1" thickBot="1" x14ac:dyDescent="0.25">
      <c r="B18" s="13"/>
      <c r="C18" s="279" t="s">
        <v>58</v>
      </c>
      <c r="D18" s="280"/>
      <c r="E18" s="281"/>
      <c r="F18" s="11"/>
      <c r="G18" s="27" t="s">
        <v>51</v>
      </c>
      <c r="H18" s="65">
        <v>17.486000000000001</v>
      </c>
      <c r="I18" s="25" t="s">
        <v>19</v>
      </c>
      <c r="J18" s="10"/>
      <c r="L18" s="13"/>
      <c r="M18" s="68" t="s">
        <v>50</v>
      </c>
      <c r="N18" s="70" t="s">
        <v>49</v>
      </c>
      <c r="O18" s="70" t="s">
        <v>7</v>
      </c>
      <c r="P18" s="70" t="s">
        <v>48</v>
      </c>
      <c r="Q18" s="70" t="s">
        <v>47</v>
      </c>
      <c r="R18" s="70" t="s">
        <v>46</v>
      </c>
      <c r="S18" s="70" t="s">
        <v>9</v>
      </c>
      <c r="T18" s="70" t="s">
        <v>45</v>
      </c>
      <c r="U18" s="70" t="s">
        <v>44</v>
      </c>
      <c r="V18" s="70" t="s">
        <v>43</v>
      </c>
      <c r="W18" s="70" t="s">
        <v>42</v>
      </c>
      <c r="X18" s="70" t="s">
        <v>41</v>
      </c>
      <c r="Y18" s="70" t="s">
        <v>40</v>
      </c>
      <c r="Z18" s="69" t="s">
        <v>39</v>
      </c>
      <c r="AA18" s="70" t="s">
        <v>38</v>
      </c>
      <c r="AB18" s="70" t="s">
        <v>37</v>
      </c>
      <c r="AC18" s="73" t="s">
        <v>35</v>
      </c>
      <c r="AD18" s="70" t="s">
        <v>34</v>
      </c>
      <c r="AE18" s="70" t="s">
        <v>34</v>
      </c>
      <c r="AF18" s="69" t="s">
        <v>36</v>
      </c>
      <c r="AG18" s="73" t="s">
        <v>35</v>
      </c>
      <c r="AH18" s="70" t="s">
        <v>34</v>
      </c>
      <c r="AI18" s="70" t="s">
        <v>33</v>
      </c>
      <c r="AJ18" s="69" t="s">
        <v>32</v>
      </c>
      <c r="AK18" s="72" t="s">
        <v>31</v>
      </c>
      <c r="AL18" s="71" t="s">
        <v>30</v>
      </c>
      <c r="AM18" s="69" t="s">
        <v>29</v>
      </c>
      <c r="AN18" s="68" t="s">
        <v>28</v>
      </c>
      <c r="AO18" s="70" t="s">
        <v>27</v>
      </c>
      <c r="AP18" s="69" t="s">
        <v>26</v>
      </c>
      <c r="AQ18" s="68" t="s">
        <v>25</v>
      </c>
      <c r="AR18" s="67" t="s">
        <v>24</v>
      </c>
      <c r="AS18" s="66" t="s">
        <v>23</v>
      </c>
      <c r="AT18" s="10"/>
    </row>
    <row r="19" spans="2:46" ht="14.25" customHeight="1" thickTop="1" x14ac:dyDescent="0.2">
      <c r="B19" s="13"/>
      <c r="C19" s="27" t="s">
        <v>52</v>
      </c>
      <c r="D19" s="74">
        <f>+a_z_C</f>
        <v>7.1867712649372812</v>
      </c>
      <c r="E19" s="25"/>
      <c r="F19" s="11"/>
      <c r="G19" s="27" t="s">
        <v>21</v>
      </c>
      <c r="H19" s="65">
        <f>35.48-H18</f>
        <v>17.993999999999996</v>
      </c>
      <c r="I19" s="25" t="s">
        <v>19</v>
      </c>
      <c r="J19" s="10"/>
      <c r="L19" s="13"/>
      <c r="M19" s="61">
        <v>1</v>
      </c>
      <c r="N19" s="60">
        <v>20</v>
      </c>
      <c r="O19" s="60">
        <v>8</v>
      </c>
      <c r="P19" s="60">
        <v>8</v>
      </c>
      <c r="Q19" s="305">
        <v>19.25</v>
      </c>
      <c r="R19" s="59"/>
      <c r="S19" s="59">
        <v>313.67</v>
      </c>
      <c r="T19" s="59"/>
      <c r="U19" s="56">
        <f>IF(ISNUMBER($N19),[1]!MassIon(O19,N19,P19),"")</f>
        <v>19.999687360875871</v>
      </c>
      <c r="V19" s="44">
        <f>IF(ISNUMBER(N19),[1]!Brho2Energy(Brho12,U19,P19),"")</f>
        <v>97.712355978732063</v>
      </c>
      <c r="W19" s="57">
        <f>IF(ISNUMBER($N19),[1]!Energy2Beta(V19),"")</f>
        <v>0.42528286448682173</v>
      </c>
      <c r="X19" s="64">
        <f>+IF(ISNUMBER(W19),[1]!Beta2Gamma(W19),"")</f>
        <v>1.1048985281493191</v>
      </c>
      <c r="Y19" s="44">
        <f t="shared" ref="Y19:Y26" si="0">+IF(ISNUMBER($N19),(length1+length2)/W19/c_speed,0)</f>
        <v>278.2944338672072</v>
      </c>
      <c r="Z19" s="55">
        <f>IF(ISNUMBER(N19),[1]!EnergyLossInMatter(O19,N19,V19,Z_Material_pin,PIN_thick_mg),"")</f>
        <v>95.364000000000004</v>
      </c>
      <c r="AA19" s="58">
        <f>+IF(ISNUMBER(N19),W19*W19,"")</f>
        <v>0.18086551482611637</v>
      </c>
      <c r="AB19" s="44">
        <f>IF(ISNUMBER(N19),-1+LN(5930/(1/AA19-1))/AA19,"")</f>
        <v>38.682992996442778</v>
      </c>
      <c r="AC19" s="45">
        <v>0</v>
      </c>
      <c r="AD19" s="44">
        <f t="shared" ref="AD19:AD24" si="1">IF(ISNUMBER(N19),Q19-AC19*ABS(shift_calc/a_tof_c1),"")</f>
        <v>19.25</v>
      </c>
      <c r="AE19" s="44">
        <f t="shared" ref="AE19:AE24" si="2">+IF(ISNUMBER($N19),a_tof_c1*Q19+b_tof_c1+AC19*shift_calc,"")</f>
        <v>278.49779710991675</v>
      </c>
      <c r="AF19" s="41">
        <f t="shared" ref="AF19:AF26" si="3">+IF(AND(ISNUMBER(Q19),modeRF1,ISNUMBER($N19)),ABS(AE19-$Y19),"")</f>
        <v>0.20336324270954265</v>
      </c>
      <c r="AG19" s="45">
        <v>0</v>
      </c>
      <c r="AH19" s="44">
        <f t="shared" ref="AH19:AH26" si="4">IF(AND(ISNUMBER(R19),ISNUMBER(N19)),R19-AG19*ABS(shift_calc/a_tof_c2),0)</f>
        <v>0</v>
      </c>
      <c r="AI19" s="44" t="str">
        <f t="shared" ref="AI19:AI26" si="5">+IF(AND(ISNUMBER(R19),ISNUMBER($N19)),a_tof_c2*R19+b_tof_c2+AG19*shift_calc,"")</f>
        <v/>
      </c>
      <c r="AJ19" s="41" t="str">
        <f t="shared" ref="AJ19:AJ26" si="6">+IF(AND(ISNUMBER(R19),ISNUMBER($N19),modeRF2),ABS(AI19-$Y19),"")</f>
        <v/>
      </c>
      <c r="AK19" s="43">
        <f t="shared" ref="AK19:AK26" si="7">IF(ISNUMBER(N19),(V19-Z19)*N19,"")</f>
        <v>46.967119574641174</v>
      </c>
      <c r="AL19" s="56">
        <f t="shared" ref="AL19:AL26" si="8">+IF(ISNUMBER(N19),S19*a_pin_deC+b_pin_deC,"")</f>
        <v>46.768902895824645</v>
      </c>
      <c r="AM19" s="41">
        <f t="shared" ref="AM19:AM26" si="9">+IF(AND(ISNUMBER(S19),modeDE,ISNUMBER(N19)),(AK19-AL19)*(AK19-AL19)/AK19,"")</f>
        <v>8.3653952205041252E-4</v>
      </c>
      <c r="AN19" s="42">
        <f t="shared" ref="AN19:AN26" si="10">IF(ISNUMBER(N19),Z19*N19,"")</f>
        <v>1907.2800000000002</v>
      </c>
      <c r="AO19" s="11">
        <f t="shared" ref="AO19:AO26" si="11">+IF(ISNUMBER(N19),a_sci_deC*T19+b_sci_deC,"")</f>
        <v>21.60874106183795</v>
      </c>
      <c r="AP19" s="63" t="str">
        <f t="shared" ref="AP19:AP26" si="12">+IF(AND(ISNUMBER(Q19),ISNUMBER(T19),modeSci),(AN19-AO19)*(AN19-AO19)/AN19,"")</f>
        <v/>
      </c>
      <c r="AQ19" s="42">
        <f>+IF(ISNUMBER(N19),SQRT(AK19/AB19),0)</f>
        <v>1.1018866683887465</v>
      </c>
      <c r="AR19" s="56">
        <f>+IF(ISNUMBER(N19),a_z_C*AQ19+b_z_C,"")</f>
        <v>8.0077478796474431</v>
      </c>
      <c r="AS19" s="41">
        <f t="shared" ref="AS19:AS26" si="13">+IF(AND(ISNUMBER(S19),modeZ,ISNUMBER(N19)),ABS(AR19-O19),"")</f>
        <v>7.7478796474430567E-3</v>
      </c>
      <c r="AT19" s="10"/>
    </row>
    <row r="20" spans="2:46" ht="14.25" customHeight="1" x14ac:dyDescent="0.2">
      <c r="B20" s="13"/>
      <c r="C20" s="16" t="s">
        <v>22</v>
      </c>
      <c r="D20" s="15">
        <f>+b_z_C</f>
        <v>8.8740434053725725E-2</v>
      </c>
      <c r="E20" s="14"/>
      <c r="F20" s="11"/>
      <c r="G20" s="27"/>
      <c r="H20" s="39"/>
      <c r="I20" s="25"/>
      <c r="J20" s="10"/>
      <c r="L20" s="13"/>
      <c r="M20" s="61">
        <v>2</v>
      </c>
      <c r="N20" s="60">
        <v>17</v>
      </c>
      <c r="O20" s="60">
        <v>8</v>
      </c>
      <c r="P20" s="60">
        <v>8</v>
      </c>
      <c r="Q20" s="305">
        <v>51.45</v>
      </c>
      <c r="R20" s="59"/>
      <c r="S20" s="59">
        <v>237.17</v>
      </c>
      <c r="T20" s="59"/>
      <c r="U20" s="56">
        <f>IF(ISNUMBER($N20),[1]!MassIon(O20,N20,P20),"")</f>
        <v>16.994742360875868</v>
      </c>
      <c r="V20" s="44">
        <f>IF(ISNUMBER(N20),[1]!Brho2Energy(Brho12,U20,P20),"")</f>
        <v>132.93351735630046</v>
      </c>
      <c r="W20" s="57">
        <f>IF(ISNUMBER($N20),[1]!Energy2Beta(V20),"")</f>
        <v>0.4839192219302636</v>
      </c>
      <c r="X20" s="64">
        <f>+IF(ISNUMBER(W20),[1]!Beta2Gamma(W20),"")</f>
        <v>1.1427099999044443</v>
      </c>
      <c r="Y20" s="44">
        <f t="shared" si="0"/>
        <v>244.57357476665791</v>
      </c>
      <c r="Z20" s="55">
        <f>IF(ISNUMBER(N20),[1]!EnergyLossInMatter(O20,N20,V20,Z_Material_pin,PIN_thick_mg),"")</f>
        <v>130.721</v>
      </c>
      <c r="AA20" s="58">
        <f t="shared" ref="AA20:AA26" si="14">+IF(ISNUMBER(N20),W20*W20,"")</f>
        <v>0.23417781335359172</v>
      </c>
      <c r="AB20" s="44">
        <f t="shared" ref="AB20:AB26" si="15">IF(ISNUMBER(N20),-1+LN(5930/(1/AA20-1))/AA20,"")</f>
        <v>31.039372504949768</v>
      </c>
      <c r="AC20" s="45">
        <v>0</v>
      </c>
      <c r="AD20" s="44">
        <f t="shared" si="1"/>
        <v>51.45</v>
      </c>
      <c r="AE20" s="44">
        <f t="shared" si="2"/>
        <v>244.57355194371104</v>
      </c>
      <c r="AF20" s="41">
        <f t="shared" si="3"/>
        <v>2.2822946874612171E-5</v>
      </c>
      <c r="AG20" s="45">
        <v>0</v>
      </c>
      <c r="AH20" s="44">
        <f t="shared" si="4"/>
        <v>0</v>
      </c>
      <c r="AI20" s="44" t="str">
        <f t="shared" si="5"/>
        <v/>
      </c>
      <c r="AJ20" s="41" t="str">
        <f t="shared" si="6"/>
        <v/>
      </c>
      <c r="AK20" s="43">
        <f t="shared" si="7"/>
        <v>37.612795057107689</v>
      </c>
      <c r="AL20" s="56">
        <f t="shared" si="8"/>
        <v>37.950231094744382</v>
      </c>
      <c r="AM20" s="41">
        <f t="shared" si="9"/>
        <v>3.0272432379213599E-3</v>
      </c>
      <c r="AN20" s="42">
        <f t="shared" si="10"/>
        <v>2222.2570000000001</v>
      </c>
      <c r="AO20" s="11">
        <f t="shared" si="11"/>
        <v>21.60874106183795</v>
      </c>
      <c r="AP20" s="63" t="str">
        <f t="shared" si="12"/>
        <v/>
      </c>
      <c r="AQ20" s="42">
        <f t="shared" ref="AQ20:AQ26" si="16">+IF(ISNUMBER(N20),SQRT(AK20/AB20),0)</f>
        <v>1.1008073923192283</v>
      </c>
      <c r="AR20" s="56">
        <f t="shared" ref="AR20:AR26" si="17">+IF(ISNUMBER(N20),a_z_C*SQRT(AK20/AB20)+b_z_C,"")</f>
        <v>7.9999913694040963</v>
      </c>
      <c r="AS20" s="41">
        <f t="shared" si="13"/>
        <v>8.6305959037247248E-6</v>
      </c>
      <c r="AT20" s="10"/>
    </row>
    <row r="21" spans="2:46" ht="14.25" customHeight="1" x14ac:dyDescent="0.2">
      <c r="B21" s="13"/>
      <c r="C21" s="17"/>
      <c r="D21" s="11"/>
      <c r="E21" s="11"/>
      <c r="F21" s="11"/>
      <c r="G21" s="27" t="s">
        <v>20</v>
      </c>
      <c r="H21" s="62">
        <v>3.1</v>
      </c>
      <c r="I21" s="25" t="s">
        <v>19</v>
      </c>
      <c r="J21" s="10"/>
      <c r="L21" s="13"/>
      <c r="M21" s="61">
        <v>3</v>
      </c>
      <c r="N21" s="60">
        <v>34</v>
      </c>
      <c r="O21" s="60">
        <v>14</v>
      </c>
      <c r="P21" s="60">
        <v>14</v>
      </c>
      <c r="Q21" s="305">
        <v>25.76</v>
      </c>
      <c r="R21" s="59"/>
      <c r="S21" s="59">
        <v>1108.3499999999999</v>
      </c>
      <c r="T21" s="59"/>
      <c r="U21" s="56">
        <f>IF(ISNUMBER($N21),[1]!MassIon(O21,N21,P21),"")</f>
        <v>33.970894881532772</v>
      </c>
      <c r="V21" s="44">
        <f>IF(ISNUMBER(N21),[1]!Brho2Energy(Brho12,U21,P21),"")</f>
        <v>103.41798261334766</v>
      </c>
      <c r="W21" s="57">
        <f>IF(ISNUMBER($N21),[1]!Energy2Beta(V21),"")</f>
        <v>0.43574378022075744</v>
      </c>
      <c r="X21" s="64">
        <f>+IF(ISNUMBER(W21),[1]!Beta2Gamma(W21),"")</f>
        <v>1.1110237702453238</v>
      </c>
      <c r="Y21" s="44">
        <f t="shared" si="0"/>
        <v>271.6134099397209</v>
      </c>
      <c r="Z21" s="55">
        <f>IF(ISNUMBER(N21),[1]!EnergyLossInMatter(O21,N21,V21,Z_Material_pin,PIN_thick_mg),"")</f>
        <v>99.328999999999994</v>
      </c>
      <c r="AA21" s="58">
        <f t="shared" si="14"/>
        <v>0.18987264200107576</v>
      </c>
      <c r="AB21" s="44">
        <f t="shared" si="15"/>
        <v>37.114714634320499</v>
      </c>
      <c r="AC21" s="45">
        <v>0</v>
      </c>
      <c r="AD21" s="44">
        <f t="shared" si="1"/>
        <v>25.76</v>
      </c>
      <c r="AE21" s="44">
        <f t="shared" si="2"/>
        <v>271.63919971761862</v>
      </c>
      <c r="AF21" s="41">
        <f t="shared" si="3"/>
        <v>2.5789777897728072E-2</v>
      </c>
      <c r="AG21" s="45">
        <v>0</v>
      </c>
      <c r="AH21" s="44">
        <f t="shared" si="4"/>
        <v>0</v>
      </c>
      <c r="AI21" s="44" t="str">
        <f t="shared" si="5"/>
        <v/>
      </c>
      <c r="AJ21" s="41" t="str">
        <f t="shared" si="6"/>
        <v/>
      </c>
      <c r="AK21" s="43">
        <f t="shared" si="7"/>
        <v>139.02540885382069</v>
      </c>
      <c r="AL21" s="56">
        <f t="shared" si="8"/>
        <v>138.37703501193528</v>
      </c>
      <c r="AM21" s="41">
        <f t="shared" si="9"/>
        <v>3.0238259488470564E-3</v>
      </c>
      <c r="AN21" s="42">
        <f t="shared" si="10"/>
        <v>3377.1859999999997</v>
      </c>
      <c r="AO21" s="11">
        <f t="shared" si="11"/>
        <v>21.60874106183795</v>
      </c>
      <c r="AP21" s="63" t="str">
        <f t="shared" si="12"/>
        <v/>
      </c>
      <c r="AQ21" s="42">
        <f t="shared" si="16"/>
        <v>1.9354146656981479</v>
      </c>
      <c r="AR21" s="56">
        <f t="shared" si="17"/>
        <v>13.99812293923137</v>
      </c>
      <c r="AS21" s="41">
        <f t="shared" si="13"/>
        <v>1.8770607686295904E-3</v>
      </c>
      <c r="AT21" s="10"/>
    </row>
    <row r="22" spans="2:46" ht="14.25" customHeight="1" x14ac:dyDescent="0.2">
      <c r="B22" s="13"/>
      <c r="C22" s="54" t="s">
        <v>207</v>
      </c>
      <c r="D22" s="243">
        <v>43587</v>
      </c>
      <c r="E22" s="11"/>
      <c r="F22" s="11"/>
      <c r="G22" s="27" t="s">
        <v>18</v>
      </c>
      <c r="H22" s="62">
        <v>0.29977900000000002</v>
      </c>
      <c r="I22" s="25" t="s">
        <v>17</v>
      </c>
      <c r="J22" s="10"/>
      <c r="L22" s="13"/>
      <c r="M22" s="61">
        <v>4</v>
      </c>
      <c r="N22" s="60">
        <v>35</v>
      </c>
      <c r="O22" s="60">
        <v>14</v>
      </c>
      <c r="P22" s="60">
        <v>14</v>
      </c>
      <c r="Q22" s="305">
        <v>19.62</v>
      </c>
      <c r="R22" s="59"/>
      <c r="S22" s="59">
        <v>1160.29</v>
      </c>
      <c r="T22" s="59"/>
      <c r="U22" s="56">
        <f>IF(ISNUMBER($N22),[1]!MassIon(O22,N22,P22),"")</f>
        <v>34.976902881532773</v>
      </c>
      <c r="V22" s="44">
        <f>IF(ISNUMBER(N22),[1]!Brho2Energy(Brho12,U22,P22),"")</f>
        <v>97.832399326183904</v>
      </c>
      <c r="W22" s="57">
        <f>IF(ISNUMBER($N22),[1]!Energy2Beta(V22),"")</f>
        <v>0.42550741927461805</v>
      </c>
      <c r="X22" s="64">
        <f>+IF(ISNUMBER(W22),[1]!Beta2Gamma(W22),"")</f>
        <v>1.1050273999827294</v>
      </c>
      <c r="Y22" s="44">
        <f t="shared" si="0"/>
        <v>278.14756839621617</v>
      </c>
      <c r="Z22" s="55">
        <f>IF(ISNUMBER(N22),[1]!EnergyLossInMatter(O22,N22,V22,Z_Material_pin,PIN_thick_mg),"")</f>
        <v>93.694999999999993</v>
      </c>
      <c r="AA22" s="58">
        <f t="shared" si="14"/>
        <v>0.1810565638577456</v>
      </c>
      <c r="AB22" s="44">
        <f t="shared" si="15"/>
        <v>38.648239268752278</v>
      </c>
      <c r="AC22" s="45">
        <v>0</v>
      </c>
      <c r="AD22" s="44">
        <f t="shared" si="1"/>
        <v>19.62</v>
      </c>
      <c r="AE22" s="44">
        <f t="shared" si="2"/>
        <v>278.10798435490136</v>
      </c>
      <c r="AF22" s="41">
        <f t="shared" si="3"/>
        <v>3.9584041314810747E-2</v>
      </c>
      <c r="AG22" s="45">
        <v>0</v>
      </c>
      <c r="AH22" s="44">
        <f t="shared" si="4"/>
        <v>0</v>
      </c>
      <c r="AI22" s="44" t="str">
        <f t="shared" si="5"/>
        <v/>
      </c>
      <c r="AJ22" s="41" t="str">
        <f t="shared" si="6"/>
        <v/>
      </c>
      <c r="AK22" s="43">
        <f t="shared" si="7"/>
        <v>144.80897641643685</v>
      </c>
      <c r="AL22" s="56">
        <f t="shared" si="8"/>
        <v>144.3645096962243</v>
      </c>
      <c r="AM22" s="41">
        <f t="shared" si="9"/>
        <v>1.3642156050353389E-3</v>
      </c>
      <c r="AN22" s="42">
        <f t="shared" si="10"/>
        <v>3279.3249999999998</v>
      </c>
      <c r="AO22" s="11">
        <f t="shared" si="11"/>
        <v>21.60874106183795</v>
      </c>
      <c r="AP22" s="63" t="str">
        <f t="shared" si="12"/>
        <v/>
      </c>
      <c r="AQ22" s="42">
        <f t="shared" si="16"/>
        <v>1.9356769801256679</v>
      </c>
      <c r="AR22" s="56">
        <f t="shared" si="17"/>
        <v>14.000008133021449</v>
      </c>
      <c r="AS22" s="41">
        <f t="shared" si="13"/>
        <v>8.133021449197031E-6</v>
      </c>
      <c r="AT22" s="10"/>
    </row>
    <row r="23" spans="2:46" ht="14.25" customHeight="1" x14ac:dyDescent="0.2">
      <c r="B23" s="13"/>
      <c r="C23" s="11"/>
      <c r="D23" s="54" t="s">
        <v>190</v>
      </c>
      <c r="E23" s="11"/>
      <c r="F23" s="11"/>
      <c r="G23" s="27" t="s">
        <v>16</v>
      </c>
      <c r="H23" s="62">
        <v>931.49432000000002</v>
      </c>
      <c r="I23" s="25"/>
      <c r="J23" s="10"/>
      <c r="L23" s="13"/>
      <c r="M23" s="61">
        <v>5</v>
      </c>
      <c r="N23" s="60">
        <v>38</v>
      </c>
      <c r="O23" s="60">
        <v>16</v>
      </c>
      <c r="P23" s="60">
        <v>16</v>
      </c>
      <c r="Q23" s="305">
        <v>30.408999999999999</v>
      </c>
      <c r="R23" s="59"/>
      <c r="S23" s="59">
        <v>1437.6020000000001</v>
      </c>
      <c r="T23" s="59"/>
      <c r="U23" s="58">
        <f>IF(ISNUMBER($N23),[1]!MassIon(O23,N23,P23),"")</f>
        <v>37.962385721751737</v>
      </c>
      <c r="V23" s="56">
        <f>IF(ISNUMBER(N23),[1]!Brho2Energy(Brho12,U23,P23),"")</f>
        <v>107.91807599697684</v>
      </c>
      <c r="W23" s="57">
        <f>IF(ISNUMBER($N23),[1]!Energy2Beta(V23),"")</f>
        <v>0.44370292420783441</v>
      </c>
      <c r="X23" s="12">
        <f>+IF(ISNUMBER(W23),[1]!Beta2Gamma(W23),"")</f>
        <v>1.1158548191720321</v>
      </c>
      <c r="Y23" s="44">
        <f t="shared" si="0"/>
        <v>266.74120802130716</v>
      </c>
      <c r="Z23" s="55">
        <f>IF(ISNUMBER(N23),[1]!EnergyLossInMatter(O23,N23,V23,Z_Material_pin,PIN_thick_mg),"")</f>
        <v>103.27800000000001</v>
      </c>
      <c r="AA23" s="58">
        <f t="shared" si="14"/>
        <v>0.19687228495058326</v>
      </c>
      <c r="AB23" s="44">
        <f t="shared" si="15"/>
        <v>35.987537193937861</v>
      </c>
      <c r="AC23" s="45">
        <v>0</v>
      </c>
      <c r="AD23" s="44">
        <f t="shared" si="1"/>
        <v>30.408999999999999</v>
      </c>
      <c r="AE23" s="44">
        <f t="shared" si="2"/>
        <v>266.74125512824935</v>
      </c>
      <c r="AF23" s="41">
        <f t="shared" si="3"/>
        <v>4.710694219056677E-5</v>
      </c>
      <c r="AG23" s="45">
        <v>0</v>
      </c>
      <c r="AH23" s="44">
        <f t="shared" si="4"/>
        <v>0</v>
      </c>
      <c r="AI23" s="44" t="str">
        <f t="shared" si="5"/>
        <v/>
      </c>
      <c r="AJ23" s="41" t="str">
        <f t="shared" si="6"/>
        <v/>
      </c>
      <c r="AK23" s="43">
        <f t="shared" si="7"/>
        <v>176.32288788511966</v>
      </c>
      <c r="AL23" s="12">
        <f t="shared" si="8"/>
        <v>176.33213733676249</v>
      </c>
      <c r="AM23" s="41">
        <f t="shared" si="9"/>
        <v>4.8520278177837326E-7</v>
      </c>
      <c r="AN23" s="42">
        <f t="shared" si="10"/>
        <v>3924.5640000000003</v>
      </c>
      <c r="AO23" s="11">
        <f t="shared" si="11"/>
        <v>21.60874106183795</v>
      </c>
      <c r="AP23" s="41" t="str">
        <f t="shared" si="12"/>
        <v/>
      </c>
      <c r="AQ23" s="42">
        <f t="shared" si="16"/>
        <v>2.2134936568347543</v>
      </c>
      <c r="AR23" s="356">
        <f t="shared" si="17"/>
        <v>15.996613042114681</v>
      </c>
      <c r="AS23" s="41">
        <f t="shared" si="13"/>
        <v>3.3869578853185089E-3</v>
      </c>
      <c r="AT23" s="10"/>
    </row>
    <row r="24" spans="2:46" ht="14.25" customHeight="1" x14ac:dyDescent="0.2">
      <c r="B24" s="13"/>
      <c r="C24" s="17"/>
      <c r="D24" s="11" t="s">
        <v>189</v>
      </c>
      <c r="E24" s="11"/>
      <c r="F24" s="11"/>
      <c r="G24" s="27"/>
      <c r="H24" s="39"/>
      <c r="I24" s="25"/>
      <c r="J24" s="10"/>
      <c r="L24" s="13"/>
      <c r="M24" s="61">
        <v>6</v>
      </c>
      <c r="N24" s="60">
        <v>51</v>
      </c>
      <c r="O24" s="60">
        <v>21</v>
      </c>
      <c r="P24" s="60">
        <v>21</v>
      </c>
      <c r="Q24" s="59">
        <v>26.085570000000001</v>
      </c>
      <c r="R24" s="59"/>
      <c r="S24" s="59">
        <v>2642.3389999999999</v>
      </c>
      <c r="T24" s="59"/>
      <c r="U24" s="58">
        <f>IF(ISNUMBER($N24),[1]!MassIon(O24,N24,P24),"")</f>
        <v>50.942082822299156</v>
      </c>
      <c r="V24" s="56">
        <f>IF(ISNUMBER(N24),[1]!Brho2Energy(Brho12,U24,P24),"")</f>
        <v>103.47299274330648</v>
      </c>
      <c r="W24" s="57">
        <f>IF(ISNUMBER($N24),[1]!Energy2Beta(V24),"")</f>
        <v>0.43584258489044242</v>
      </c>
      <c r="X24" s="12">
        <f>+IF(ISNUMBER(W24),[1]!Beta2Gamma(W24),"")</f>
        <v>1.111082826048535</v>
      </c>
      <c r="Y24" s="44">
        <f t="shared" si="0"/>
        <v>271.55183570585427</v>
      </c>
      <c r="Z24" s="55">
        <f>IF(ISNUMBER(N24),[1]!EnergyLossInMatter(O24,N24,V24,Z_Material_pin,PIN_thick_mg),"")</f>
        <v>97.311000000000007</v>
      </c>
      <c r="AA24" s="58">
        <f t="shared" si="14"/>
        <v>0.1899587588039825</v>
      </c>
      <c r="AB24" s="44">
        <f t="shared" si="15"/>
        <v>37.100382239843569</v>
      </c>
      <c r="AC24" s="45">
        <v>0</v>
      </c>
      <c r="AD24" s="44">
        <f t="shared" si="1"/>
        <v>26.085570000000001</v>
      </c>
      <c r="AE24" s="44">
        <f t="shared" si="2"/>
        <v>271.2961960996447</v>
      </c>
      <c r="AF24" s="41">
        <f t="shared" si="3"/>
        <v>0.25563960620957005</v>
      </c>
      <c r="AG24" s="45">
        <v>0</v>
      </c>
      <c r="AH24" s="44">
        <f t="shared" si="4"/>
        <v>0</v>
      </c>
      <c r="AI24" s="44" t="str">
        <f t="shared" si="5"/>
        <v/>
      </c>
      <c r="AJ24" s="41" t="str">
        <f t="shared" si="6"/>
        <v/>
      </c>
      <c r="AK24" s="43">
        <f t="shared" si="7"/>
        <v>314.26162990862997</v>
      </c>
      <c r="AL24" s="12">
        <f t="shared" si="8"/>
        <v>315.21031001150794</v>
      </c>
      <c r="AM24" s="41">
        <f t="shared" si="9"/>
        <v>2.8638365360041857E-3</v>
      </c>
      <c r="AN24" s="42">
        <f t="shared" si="10"/>
        <v>4962.8610000000008</v>
      </c>
      <c r="AO24" s="11">
        <f t="shared" si="11"/>
        <v>21.60874106183795</v>
      </c>
      <c r="AP24" s="41" t="str">
        <f t="shared" si="12"/>
        <v/>
      </c>
      <c r="AQ24" s="42">
        <f t="shared" si="16"/>
        <v>2.9104255027264587</v>
      </c>
      <c r="AR24" s="356">
        <f t="shared" si="17"/>
        <v>21.00530280578888</v>
      </c>
      <c r="AS24" s="41">
        <f t="shared" si="13"/>
        <v>5.3028057888795388E-3</v>
      </c>
      <c r="AT24" s="10"/>
    </row>
    <row r="25" spans="2:46" ht="14.25" customHeight="1" x14ac:dyDescent="0.2">
      <c r="B25" s="13"/>
      <c r="C25" s="17"/>
      <c r="E25" s="11"/>
      <c r="F25" s="11"/>
      <c r="G25" s="27" t="s">
        <v>15</v>
      </c>
      <c r="H25" s="53">
        <v>1</v>
      </c>
      <c r="I25" s="25"/>
      <c r="J25" s="10"/>
      <c r="L25" s="13"/>
      <c r="M25" s="61">
        <v>7</v>
      </c>
      <c r="N25" s="60"/>
      <c r="O25" s="60"/>
      <c r="P25" s="60"/>
      <c r="Q25" s="59"/>
      <c r="R25" s="59"/>
      <c r="S25" s="59"/>
      <c r="T25" s="59"/>
      <c r="U25" s="58" t="str">
        <f>IF(ISNUMBER($N25),[1]!MassIon(O25,N25,P25),"")</f>
        <v/>
      </c>
      <c r="V25" s="56" t="str">
        <f>IF(ISNUMBER(N25),[1]!Brho2Energy(Brho12,U25,P25),"")</f>
        <v/>
      </c>
      <c r="W25" s="57" t="str">
        <f>IF(ISNUMBER($N25),[1]!Energy2Beta(V25),"")</f>
        <v/>
      </c>
      <c r="X25" s="12" t="str">
        <f>+IF(ISNUMBER(W25),[1]!Beta2Gamma(W25),"")</f>
        <v/>
      </c>
      <c r="Y25" s="44">
        <f t="shared" si="0"/>
        <v>0</v>
      </c>
      <c r="Z25" s="55" t="str">
        <f>IF(ISNUMBER(N25),[1]!EnergyLossInMatter(O25,N25,V25,Z_Material_pin,PIN_thick_mg),"")</f>
        <v/>
      </c>
      <c r="AA25" s="58" t="str">
        <f t="shared" si="14"/>
        <v/>
      </c>
      <c r="AB25" s="44" t="str">
        <f t="shared" si="15"/>
        <v/>
      </c>
      <c r="AC25" s="45">
        <v>0</v>
      </c>
      <c r="AD25" s="44"/>
      <c r="AE25" s="44"/>
      <c r="AF25" s="41" t="str">
        <f t="shared" si="3"/>
        <v/>
      </c>
      <c r="AG25" s="45">
        <v>0</v>
      </c>
      <c r="AH25" s="44">
        <f t="shared" si="4"/>
        <v>0</v>
      </c>
      <c r="AI25" s="44" t="str">
        <f t="shared" si="5"/>
        <v/>
      </c>
      <c r="AJ25" s="41" t="str">
        <f t="shared" si="6"/>
        <v/>
      </c>
      <c r="AK25" s="43" t="str">
        <f t="shared" si="7"/>
        <v/>
      </c>
      <c r="AL25" s="12" t="str">
        <f t="shared" si="8"/>
        <v/>
      </c>
      <c r="AM25" s="41" t="str">
        <f t="shared" si="9"/>
        <v/>
      </c>
      <c r="AN25" s="42" t="str">
        <f t="shared" si="10"/>
        <v/>
      </c>
      <c r="AO25" s="11" t="str">
        <f t="shared" si="11"/>
        <v/>
      </c>
      <c r="AP25" s="41" t="str">
        <f t="shared" si="12"/>
        <v/>
      </c>
      <c r="AQ25" s="42">
        <f t="shared" si="16"/>
        <v>0</v>
      </c>
      <c r="AR25" s="356" t="str">
        <f t="shared" si="17"/>
        <v/>
      </c>
      <c r="AS25" s="41" t="str">
        <f t="shared" si="13"/>
        <v/>
      </c>
      <c r="AT25" s="10"/>
    </row>
    <row r="26" spans="2:46" ht="14.25" customHeight="1" thickBot="1" x14ac:dyDescent="0.25">
      <c r="B26" s="13"/>
      <c r="C26" s="54" t="s">
        <v>14</v>
      </c>
      <c r="E26" s="11"/>
      <c r="F26" s="11"/>
      <c r="G26" s="27" t="s">
        <v>13</v>
      </c>
      <c r="H26" s="53">
        <v>0</v>
      </c>
      <c r="I26" s="25"/>
      <c r="J26" s="10"/>
      <c r="L26" s="13"/>
      <c r="M26" s="52">
        <v>8</v>
      </c>
      <c r="N26" s="60"/>
      <c r="O26" s="60"/>
      <c r="P26" s="60"/>
      <c r="Q26" s="305"/>
      <c r="R26" s="59"/>
      <c r="S26" s="59"/>
      <c r="T26" s="51"/>
      <c r="U26" s="50" t="str">
        <f>IF(ISNUMBER($N26),[1]!MassIon(O26,N26,P26),"")</f>
        <v/>
      </c>
      <c r="V26" s="47" t="str">
        <f>IF(ISNUMBER(N26),[1]!Brho2Energy(Brho12,U26,P26),"")</f>
        <v/>
      </c>
      <c r="W26" s="49" t="str">
        <f>IF(ISNUMBER($N26),[1]!Energy2Beta(V26),"")</f>
        <v/>
      </c>
      <c r="X26" s="48" t="str">
        <f>+IF(ISNUMBER(W26),[1]!Beta2Gamma(W26),"")</f>
        <v/>
      </c>
      <c r="Y26" s="357">
        <f t="shared" si="0"/>
        <v>0</v>
      </c>
      <c r="Z26" s="46" t="str">
        <f>IF(ISNUMBER(N26),[1]!EnergyLossInMatter(O26,N26,V26,Z_Material_pin,PIN_thick_mg),"")</f>
        <v/>
      </c>
      <c r="AA26" s="58" t="str">
        <f t="shared" si="14"/>
        <v/>
      </c>
      <c r="AB26" s="44" t="str">
        <f t="shared" si="15"/>
        <v/>
      </c>
      <c r="AC26" s="45">
        <v>0</v>
      </c>
      <c r="AD26" s="44"/>
      <c r="AE26" s="44"/>
      <c r="AF26" s="41" t="str">
        <f t="shared" si="3"/>
        <v/>
      </c>
      <c r="AG26" s="45">
        <v>0</v>
      </c>
      <c r="AH26" s="44">
        <f t="shared" si="4"/>
        <v>0</v>
      </c>
      <c r="AI26" s="44" t="str">
        <f t="shared" si="5"/>
        <v/>
      </c>
      <c r="AJ26" s="41" t="str">
        <f t="shared" si="6"/>
        <v/>
      </c>
      <c r="AK26" s="43" t="str">
        <f t="shared" si="7"/>
        <v/>
      </c>
      <c r="AL26" s="12" t="str">
        <f t="shared" si="8"/>
        <v/>
      </c>
      <c r="AM26" s="41" t="str">
        <f t="shared" si="9"/>
        <v/>
      </c>
      <c r="AN26" s="42" t="str">
        <f t="shared" si="10"/>
        <v/>
      </c>
      <c r="AO26" s="11" t="str">
        <f t="shared" si="11"/>
        <v/>
      </c>
      <c r="AP26" s="41" t="str">
        <f t="shared" si="12"/>
        <v/>
      </c>
      <c r="AQ26" s="42">
        <f t="shared" si="16"/>
        <v>0</v>
      </c>
      <c r="AR26" s="356" t="str">
        <f t="shared" si="17"/>
        <v/>
      </c>
      <c r="AS26" s="41" t="str">
        <f t="shared" si="13"/>
        <v/>
      </c>
      <c r="AT26" s="10"/>
    </row>
    <row r="27" spans="2:46" ht="14.25" customHeight="1" thickBot="1" x14ac:dyDescent="0.25">
      <c r="B27" s="13"/>
      <c r="C27" s="40" t="s">
        <v>12</v>
      </c>
      <c r="D27" s="11"/>
      <c r="E27" s="11"/>
      <c r="F27" s="11"/>
      <c r="G27" s="27"/>
      <c r="H27" s="39"/>
      <c r="I27" s="25"/>
      <c r="J27" s="10"/>
      <c r="L27" s="13"/>
      <c r="M27" s="12"/>
      <c r="N27" s="38"/>
      <c r="O27" s="37"/>
      <c r="P27" s="37"/>
      <c r="Q27" s="36" t="s">
        <v>11</v>
      </c>
      <c r="R27" s="36" t="s">
        <v>10</v>
      </c>
      <c r="S27" s="36" t="s">
        <v>9</v>
      </c>
      <c r="T27" s="36" t="s">
        <v>8</v>
      </c>
      <c r="U27" s="35" t="s">
        <v>7</v>
      </c>
      <c r="V27" s="12"/>
      <c r="W27" s="12"/>
      <c r="X27" s="11"/>
      <c r="Y27" s="12"/>
      <c r="Z27" s="12"/>
      <c r="AA27" s="12"/>
      <c r="AB27" s="12"/>
      <c r="AC27" s="33"/>
      <c r="AD27" s="34"/>
      <c r="AE27" s="34" t="s">
        <v>6</v>
      </c>
      <c r="AF27" s="29">
        <f>+SUM(AF19:AF26)</f>
        <v>0.52444659802071669</v>
      </c>
      <c r="AG27" s="33"/>
      <c r="AH27" s="32"/>
      <c r="AI27" s="32"/>
      <c r="AJ27" s="29">
        <f>+SUM(AJ19:AJ26)</f>
        <v>0</v>
      </c>
      <c r="AK27" s="33"/>
      <c r="AL27" s="32"/>
      <c r="AM27" s="29">
        <f>+SUM(AM19:AM26)</f>
        <v>1.1116146052640132E-2</v>
      </c>
      <c r="AN27" s="31"/>
      <c r="AO27" s="30"/>
      <c r="AP27" s="29">
        <f>+SUM(AP19:AP26)</f>
        <v>0</v>
      </c>
      <c r="AQ27" s="31"/>
      <c r="AR27" s="30"/>
      <c r="AS27" s="29">
        <f>+SUM(AS19:AS26)</f>
        <v>1.8331467707623617E-2</v>
      </c>
      <c r="AT27" s="10"/>
    </row>
    <row r="28" spans="2:46" ht="14.25" customHeight="1" thickBot="1" x14ac:dyDescent="0.25">
      <c r="B28" s="13"/>
      <c r="C28" s="28" t="s">
        <v>5</v>
      </c>
      <c r="D28" s="11"/>
      <c r="E28" s="11"/>
      <c r="F28" s="11"/>
      <c r="G28" s="27" t="s">
        <v>4</v>
      </c>
      <c r="H28" s="26">
        <f>1/dispersion/100</f>
        <v>1.6913090393702921E-4</v>
      </c>
      <c r="I28" s="25"/>
      <c r="J28" s="10"/>
      <c r="L28" s="13"/>
      <c r="M28" s="12"/>
      <c r="N28" s="24"/>
      <c r="O28" s="23"/>
      <c r="P28" s="22" t="s">
        <v>3</v>
      </c>
      <c r="Q28" s="23"/>
      <c r="R28" s="23"/>
      <c r="S28" s="23"/>
      <c r="T28" s="23"/>
      <c r="U28" s="304"/>
      <c r="V28" s="12"/>
      <c r="W28" s="12"/>
      <c r="X28" s="19" t="s">
        <v>2</v>
      </c>
      <c r="Y28" s="18">
        <f>+SUM(AF31:AS31)</f>
        <v>0.55389421178098042</v>
      </c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1"/>
      <c r="AN28" s="11"/>
      <c r="AO28" s="11"/>
      <c r="AP28" s="11"/>
      <c r="AQ28" s="11"/>
      <c r="AT28" s="10"/>
    </row>
    <row r="29" spans="2:46" ht="14.25" customHeight="1" x14ac:dyDescent="0.2">
      <c r="B29" s="13"/>
      <c r="C29" s="17"/>
      <c r="D29" s="11"/>
      <c r="E29" s="11"/>
      <c r="F29" s="11"/>
      <c r="G29" s="16" t="s">
        <v>1</v>
      </c>
      <c r="H29" s="15">
        <v>59.125799999999998</v>
      </c>
      <c r="I29" s="14" t="s">
        <v>0</v>
      </c>
      <c r="J29" s="10"/>
      <c r="L29" s="13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1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1"/>
      <c r="AN29" s="11"/>
      <c r="AO29" s="11"/>
      <c r="AP29" s="11"/>
      <c r="AQ29" s="11"/>
      <c r="AR29" s="11"/>
      <c r="AS29" s="11"/>
      <c r="AT29" s="10"/>
    </row>
    <row r="30" spans="2:46" ht="14.25" customHeight="1" thickBot="1" x14ac:dyDescent="0.25">
      <c r="B30" s="8"/>
      <c r="C30" s="9"/>
      <c r="D30" s="6"/>
      <c r="E30" s="6"/>
      <c r="F30" s="6"/>
      <c r="G30" s="6"/>
      <c r="H30" s="6"/>
      <c r="I30" s="6"/>
      <c r="J30" s="5"/>
      <c r="L30" s="8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6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6"/>
      <c r="AM30" s="6"/>
      <c r="AN30" s="6"/>
      <c r="AO30" s="6"/>
      <c r="AP30" s="6"/>
      <c r="AQ30" s="6"/>
      <c r="AR30" s="6"/>
      <c r="AS30" s="6"/>
      <c r="AT30" s="5"/>
    </row>
    <row r="31" spans="2:46" hidden="1" x14ac:dyDescent="0.2">
      <c r="Q31" s="4"/>
      <c r="AF31" s="2">
        <f>+IF(AV7&gt;0,AF27,0)</f>
        <v>0.52444659802071669</v>
      </c>
      <c r="AJ31" s="2">
        <f>+IF(AV8&gt;0,AJ27,0)</f>
        <v>0</v>
      </c>
      <c r="AL31" s="2"/>
      <c r="AM31" s="2">
        <f>+IF(AV9&gt;0,AM27,0)</f>
        <v>1.1116146052640132E-2</v>
      </c>
      <c r="AP31" s="2">
        <f>+IF(AV10&gt;0,AP27,0)</f>
        <v>0</v>
      </c>
      <c r="AQ31" s="2"/>
      <c r="AS31" s="2">
        <f>+IF(AV11&gt;0,AS27,0)</f>
        <v>1.8331467707623617E-2</v>
      </c>
    </row>
    <row r="32" spans="2:46" x14ac:dyDescent="0.2">
      <c r="Q32" s="4"/>
      <c r="AL32" s="2"/>
    </row>
    <row r="33" spans="17:17" x14ac:dyDescent="0.2">
      <c r="Q33" s="4"/>
    </row>
  </sheetData>
  <mergeCells count="18">
    <mergeCell ref="G14:I14"/>
    <mergeCell ref="C4:E4"/>
    <mergeCell ref="G4:I4"/>
    <mergeCell ref="C10:E10"/>
    <mergeCell ref="G10:I10"/>
    <mergeCell ref="AR16:AS16"/>
    <mergeCell ref="M2:Y2"/>
    <mergeCell ref="S13:U13"/>
    <mergeCell ref="AC16:AF16"/>
    <mergeCell ref="AG16:AJ16"/>
    <mergeCell ref="AK16:AM16"/>
    <mergeCell ref="AN16:AP16"/>
    <mergeCell ref="M9:Q9"/>
    <mergeCell ref="C2:I2"/>
    <mergeCell ref="S4:U4"/>
    <mergeCell ref="W4:Y4"/>
    <mergeCell ref="S9:U9"/>
    <mergeCell ref="W9:Y9"/>
  </mergeCells>
  <printOptions horizontalCentered="1"/>
  <pageMargins left="0.74803149606299213" right="0.74803149606299213" top="0.98425196850393704" bottom="0.98425196850393704" header="0.51181102362204722" footer="0.51181102362204722"/>
  <pageSetup orientation="portrait" r:id="rId1"/>
  <headerFooter alignWithMargins="0">
    <oddHeader>&amp;L&amp;D &amp;T&amp;C&amp;F&amp;R&amp;A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16</xdr:col>
                    <xdr:colOff>238125</xdr:colOff>
                    <xdr:row>26</xdr:row>
                    <xdr:rowOff>152400</xdr:rowOff>
                  </from>
                  <to>
                    <xdr:col>16</xdr:col>
                    <xdr:colOff>561975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17</xdr:col>
                    <xdr:colOff>219075</xdr:colOff>
                    <xdr:row>26</xdr:row>
                    <xdr:rowOff>152400</xdr:rowOff>
                  </from>
                  <to>
                    <xdr:col>17</xdr:col>
                    <xdr:colOff>542925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18</xdr:col>
                    <xdr:colOff>276225</xdr:colOff>
                    <xdr:row>26</xdr:row>
                    <xdr:rowOff>152400</xdr:rowOff>
                  </from>
                  <to>
                    <xdr:col>18</xdr:col>
                    <xdr:colOff>600075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19</xdr:col>
                    <xdr:colOff>219075</xdr:colOff>
                    <xdr:row>26</xdr:row>
                    <xdr:rowOff>152400</xdr:rowOff>
                  </from>
                  <to>
                    <xdr:col>19</xdr:col>
                    <xdr:colOff>542925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20</xdr:col>
                    <xdr:colOff>152400</xdr:colOff>
                    <xdr:row>26</xdr:row>
                    <xdr:rowOff>152400</xdr:rowOff>
                  </from>
                  <to>
                    <xdr:col>20</xdr:col>
                    <xdr:colOff>485775</xdr:colOff>
                    <xdr:row>28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W33"/>
  <sheetViews>
    <sheetView showGridLines="0" showRowColHeaders="0" workbookViewId="0">
      <selection activeCell="E11" sqref="E11"/>
    </sheetView>
  </sheetViews>
  <sheetFormatPr defaultRowHeight="12.75" x14ac:dyDescent="0.2"/>
  <cols>
    <col min="1" max="1" width="2.7109375" style="238" customWidth="1"/>
    <col min="2" max="2" width="9.140625" style="224"/>
    <col min="3" max="3" width="23.140625" style="238" customWidth="1"/>
    <col min="4" max="4" width="13.140625" style="224" customWidth="1"/>
    <col min="5" max="5" width="10.5703125" style="224" customWidth="1"/>
    <col min="6" max="6" width="9.140625" style="224"/>
    <col min="7" max="12" width="9.140625" style="238"/>
    <col min="13" max="13" width="9.140625" style="224"/>
    <col min="14" max="14" width="9.140625" style="224" customWidth="1"/>
    <col min="15" max="16" width="9.140625" style="238" hidden="1" customWidth="1"/>
    <col min="17" max="19" width="9.140625" style="224" hidden="1" customWidth="1"/>
    <col min="20" max="22" width="9.140625" style="238" hidden="1" customWidth="1"/>
    <col min="23" max="16384" width="9.140625" style="238"/>
  </cols>
  <sheetData>
    <row r="1" spans="2:23" ht="13.5" thickBot="1" x14ac:dyDescent="0.25"/>
    <row r="2" spans="2:23" ht="21" customHeight="1" x14ac:dyDescent="0.2">
      <c r="C2" s="382" t="s">
        <v>158</v>
      </c>
      <c r="D2" s="383"/>
      <c r="E2" s="383"/>
      <c r="F2" s="384"/>
      <c r="O2" s="238" t="s">
        <v>187</v>
      </c>
      <c r="P2" s="278">
        <v>2</v>
      </c>
    </row>
    <row r="3" spans="2:23" x14ac:dyDescent="0.2">
      <c r="B3" s="238"/>
      <c r="C3" s="237" t="s">
        <v>100</v>
      </c>
      <c r="D3" s="239" t="s">
        <v>98</v>
      </c>
      <c r="E3" s="307">
        <f>+a_tof_c1</f>
        <v>-1.0535479865281274</v>
      </c>
      <c r="F3" s="240" t="s">
        <v>80</v>
      </c>
    </row>
    <row r="4" spans="2:23" x14ac:dyDescent="0.2">
      <c r="C4" s="237" t="s">
        <v>157</v>
      </c>
      <c r="D4" s="236" t="s">
        <v>185</v>
      </c>
      <c r="E4" s="308">
        <f>+length1+length2</f>
        <v>35.479999999999997</v>
      </c>
      <c r="F4" s="241" t="s">
        <v>19</v>
      </c>
    </row>
    <row r="5" spans="2:23" x14ac:dyDescent="0.2">
      <c r="C5" s="237"/>
      <c r="D5" s="236" t="s">
        <v>96</v>
      </c>
      <c r="E5" s="309">
        <f>+Brho12</f>
        <v>3.65</v>
      </c>
      <c r="F5" s="241" t="s">
        <v>95</v>
      </c>
    </row>
    <row r="6" spans="2:23" ht="13.5" thickBot="1" x14ac:dyDescent="0.25">
      <c r="C6" s="310" t="s">
        <v>196</v>
      </c>
      <c r="D6" s="311" t="str">
        <f>+Material_pin&amp;" (Z="&amp;Z_Material_pin&amp;")"</f>
        <v>Si (Z=14)</v>
      </c>
      <c r="E6" s="312">
        <f>+PIN_thick_um</f>
        <v>527.83043253489564</v>
      </c>
      <c r="F6" s="313" t="s">
        <v>61</v>
      </c>
    </row>
    <row r="7" spans="2:23" ht="19.5" customHeight="1" x14ac:dyDescent="0.2">
      <c r="F7" s="238"/>
      <c r="P7" s="224"/>
      <c r="S7" s="238"/>
    </row>
    <row r="8" spans="2:23" x14ac:dyDescent="0.2">
      <c r="E8" s="379" t="s">
        <v>101</v>
      </c>
      <c r="F8" s="380"/>
      <c r="G8" s="381"/>
      <c r="J8" s="226"/>
      <c r="K8" s="225"/>
      <c r="P8" s="224"/>
      <c r="S8" s="238"/>
    </row>
    <row r="9" spans="2:23" x14ac:dyDescent="0.2">
      <c r="E9" s="256"/>
      <c r="F9" s="83" t="s">
        <v>55</v>
      </c>
      <c r="G9" s="257" t="s">
        <v>55</v>
      </c>
      <c r="I9" s="224"/>
      <c r="J9" s="224"/>
      <c r="K9" s="224" t="s">
        <v>57</v>
      </c>
      <c r="L9" s="224" t="s">
        <v>53</v>
      </c>
      <c r="O9" s="224"/>
      <c r="Q9" s="238"/>
    </row>
    <row r="10" spans="2:23" ht="21.75" customHeight="1" x14ac:dyDescent="0.2">
      <c r="B10" s="274" t="s">
        <v>152</v>
      </c>
      <c r="C10" s="275"/>
      <c r="D10" s="276"/>
      <c r="E10" s="274"/>
      <c r="F10" s="276" t="s">
        <v>47</v>
      </c>
      <c r="G10" s="277" t="s">
        <v>9</v>
      </c>
      <c r="H10" s="276" t="s">
        <v>49</v>
      </c>
      <c r="I10" s="276" t="s">
        <v>7</v>
      </c>
      <c r="J10" s="276" t="s">
        <v>168</v>
      </c>
      <c r="K10" s="276" t="s">
        <v>170</v>
      </c>
      <c r="L10" s="276" t="s">
        <v>169</v>
      </c>
      <c r="M10" s="276" t="s">
        <v>42</v>
      </c>
      <c r="N10" s="319" t="s">
        <v>180</v>
      </c>
      <c r="O10" s="224" t="s">
        <v>176</v>
      </c>
      <c r="P10" s="224" t="s">
        <v>177</v>
      </c>
      <c r="Q10" s="224" t="s">
        <v>181</v>
      </c>
      <c r="R10" s="224" t="s">
        <v>165</v>
      </c>
      <c r="S10" s="224" t="s">
        <v>166</v>
      </c>
    </row>
    <row r="11" spans="2:23" ht="18" customHeight="1" x14ac:dyDescent="0.2">
      <c r="B11" s="259" t="s">
        <v>151</v>
      </c>
      <c r="C11" s="260" t="s">
        <v>184</v>
      </c>
      <c r="D11" s="261" t="s">
        <v>160</v>
      </c>
      <c r="E11" s="258">
        <v>2.5</v>
      </c>
      <c r="F11" s="315">
        <v>19.25</v>
      </c>
      <c r="G11" s="317">
        <v>313.67</v>
      </c>
      <c r="H11" s="320">
        <f>+E11*I11</f>
        <v>19.845267121961175</v>
      </c>
      <c r="I11" s="320">
        <f>+E12/(T12-E11)</f>
        <v>7.9381068487844697</v>
      </c>
      <c r="J11" s="263">
        <f>[1]!MassIon(I11,H11,I11)</f>
        <v>19.999687360875871</v>
      </c>
      <c r="K11" s="262">
        <f>+[1]!Brho2Energy(Brho12local,J11,I11)</f>
        <v>97.712355978732063</v>
      </c>
      <c r="L11" s="262">
        <f>+(K11-[1]!EnergyLossInMatter(I11,H11,K11,Z_Material_pin,PIN_thick_mg))*J11</f>
        <v>46.966385386684841</v>
      </c>
      <c r="M11" s="264">
        <f>+SQRT(R11*R11/(1+R11*R11))</f>
        <v>0.42527741885511988</v>
      </c>
      <c r="N11" s="265">
        <f>+F11*tof_slope+b_tof3</f>
        <v>278.29799739756248</v>
      </c>
      <c r="O11" s="58">
        <f>+M11*M11</f>
        <v>0.18086088298807307</v>
      </c>
      <c r="P11" s="44">
        <f>-1+LN(5930/(1/O11-1))/O11</f>
        <v>38.683836412870576</v>
      </c>
      <c r="Q11" s="238">
        <f>+SQRT(L11/P11)</f>
        <v>1.1018660439472765</v>
      </c>
      <c r="R11" s="235">
        <f>+Brho12local/3.107129578/E11</f>
        <v>0.46988706564976096</v>
      </c>
      <c r="S11" s="235">
        <f>+[1]!Beta2Gamma(M11)</f>
        <v>1.104895404309812</v>
      </c>
      <c r="T11" s="235">
        <f>+Brho12local/3.107129578/R11</f>
        <v>2.5</v>
      </c>
    </row>
    <row r="12" spans="2:23" ht="18" customHeight="1" x14ac:dyDescent="0.2">
      <c r="B12" s="259" t="s">
        <v>154</v>
      </c>
      <c r="C12" s="260" t="s">
        <v>186</v>
      </c>
      <c r="D12" s="261" t="s">
        <v>159</v>
      </c>
      <c r="E12" s="258">
        <v>-3</v>
      </c>
      <c r="F12" s="315">
        <v>51.45</v>
      </c>
      <c r="G12" s="317">
        <v>237.17</v>
      </c>
      <c r="H12" s="320">
        <f>+H11+E12</f>
        <v>16.845267121961175</v>
      </c>
      <c r="I12" s="320">
        <f>+I11</f>
        <v>7.9381068487844697</v>
      </c>
      <c r="J12" s="263">
        <f>[1]!MassIon(I12,H12,I12)</f>
        <v>16.994742360875868</v>
      </c>
      <c r="K12" s="262">
        <f>+[1]!Brho2Energy(Brho12local,J12,I12)</f>
        <v>132.93351735630046</v>
      </c>
      <c r="L12" s="262">
        <f>+(K12-[1]!EnergyLossInMatter(I12,H12,K12,Z_Material_pin,PIN_thick_mg))*J12</f>
        <v>37.601162439292381</v>
      </c>
      <c r="M12" s="264">
        <f>+total_length/c_speed/S23</f>
        <v>0.4843149189514212</v>
      </c>
      <c r="N12" s="265">
        <f>+F12*tof_slope+b_tof3</f>
        <v>244.37375223135678</v>
      </c>
      <c r="O12" s="58">
        <f>+M12*M12</f>
        <v>0.2345609407189217</v>
      </c>
      <c r="P12" s="44">
        <f t="shared" ref="P12:P14" si="0">-1+LN(5930/(1/O12-1))/O12</f>
        <v>30.996142645733553</v>
      </c>
      <c r="Q12" s="238">
        <f t="shared" ref="Q12:Q14" si="1">+SQRT(L12/P12)</f>
        <v>1.1014044079239051</v>
      </c>
      <c r="R12" s="235">
        <f>+M12*S12</f>
        <v>0.55356998897434906</v>
      </c>
      <c r="S12" s="235">
        <f>+[1]!Beta2Gamma(M12)</f>
        <v>1.1429959460527674</v>
      </c>
      <c r="T12" s="235">
        <f>+Brho12local/3.107129578/R12</f>
        <v>2.1220761376549904</v>
      </c>
      <c r="U12" s="238" t="s">
        <v>153</v>
      </c>
    </row>
    <row r="13" spans="2:23" ht="18" customHeight="1" x14ac:dyDescent="0.2">
      <c r="B13" s="259" t="s">
        <v>155</v>
      </c>
      <c r="C13" s="260" t="str">
        <f>+IF(mode3=1,"the same A/q as 1st point","Manual Z assignment")</f>
        <v>Manual Z assignment</v>
      </c>
      <c r="D13" s="261" t="str">
        <f>+IF(mode3=1,"dZ=","Z=")</f>
        <v>Z=</v>
      </c>
      <c r="E13" s="258">
        <v>14</v>
      </c>
      <c r="F13" s="315">
        <v>25.76</v>
      </c>
      <c r="G13" s="317">
        <v>1108.3499999999999</v>
      </c>
      <c r="H13" s="320">
        <f>+T13*I13</f>
        <v>33.944028501466747</v>
      </c>
      <c r="I13" s="320">
        <f>+IF(mode3=1,I12+E13,E13)</f>
        <v>14</v>
      </c>
      <c r="J13" s="263">
        <f>[1]!MassIon(I13,H13,I13)</f>
        <v>33.970894881532772</v>
      </c>
      <c r="K13" s="262">
        <f>+[1]!Brho2Energy(Brho12local,J13,I13)</f>
        <v>103.41798261334766</v>
      </c>
      <c r="L13" s="262">
        <f>+(K13-[1]!EnergyLossInMatter(I13,H13,K13,Z_Material_pin,PIN_thick_mg))*J13</f>
        <v>138.90639853044877</v>
      </c>
      <c r="M13" s="264">
        <f>+total_length/N13/c_speed</f>
        <v>0.43602311972207747</v>
      </c>
      <c r="N13" s="265">
        <f>+F13*tof_slope+b_tof3</f>
        <v>271.43940000526436</v>
      </c>
      <c r="O13" s="58">
        <f>+M13*M13</f>
        <v>0.19011616093217309</v>
      </c>
      <c r="P13" s="44">
        <f t="shared" si="0"/>
        <v>37.074216764902751</v>
      </c>
      <c r="Q13" s="238">
        <f t="shared" si="1"/>
        <v>1.9356424292546366</v>
      </c>
      <c r="R13" s="235">
        <f>+M13*S13</f>
        <v>0.48450487534297781</v>
      </c>
      <c r="S13" s="235">
        <f>+[1]!Beta2Gamma(M13)</f>
        <v>1.1111907911025516</v>
      </c>
      <c r="T13" s="235">
        <f>+Brho12local/3.107129578/R13</f>
        <v>2.4245734643904822</v>
      </c>
    </row>
    <row r="14" spans="2:23" ht="18" customHeight="1" x14ac:dyDescent="0.2">
      <c r="B14" s="266" t="s">
        <v>156</v>
      </c>
      <c r="C14" s="267" t="s">
        <v>183</v>
      </c>
      <c r="D14" s="268"/>
      <c r="E14" s="314"/>
      <c r="F14" s="316">
        <v>26.085570000000001</v>
      </c>
      <c r="G14" s="318">
        <v>2642.3389999999999</v>
      </c>
      <c r="H14" s="321">
        <f>+I14*T14</f>
        <v>51.293282887285265</v>
      </c>
      <c r="I14" s="321">
        <f>+Q14*aZ+bZ</f>
        <v>21.188655496800944</v>
      </c>
      <c r="J14" s="270">
        <f>[1]!MassIon(E25,D25,F25)</f>
        <v>50.942082822299156</v>
      </c>
      <c r="K14" s="271">
        <f>+[1]!Brho2Energy(Brho12local,J14,I14)</f>
        <v>103.47299274330648</v>
      </c>
      <c r="L14" s="269">
        <f>+G14*aE+bE</f>
        <v>316.38031107686913</v>
      </c>
      <c r="M14" s="272">
        <f>+total_length/N14/c_speed</f>
        <v>0.43657479620903195</v>
      </c>
      <c r="N14" s="273">
        <f>+F14*tof_slope+b_tof3</f>
        <v>271.09639638729038</v>
      </c>
      <c r="O14" s="253">
        <f>+M14*M14</f>
        <v>0.19059755268495776</v>
      </c>
      <c r="P14" s="254">
        <f t="shared" si="0"/>
        <v>36.99444056339933</v>
      </c>
      <c r="Q14" s="255">
        <f t="shared" si="1"/>
        <v>2.9243980944944163</v>
      </c>
      <c r="R14" s="252">
        <f>+M14*S14</f>
        <v>0.48526213355918119</v>
      </c>
      <c r="S14" s="235">
        <f>+[1]!Beta2Gamma(M14)</f>
        <v>1.1115211821042408</v>
      </c>
      <c r="T14" s="252">
        <f>+Brho12local/3.107129578/R14</f>
        <v>2.4207898842392104</v>
      </c>
      <c r="U14" s="255" t="s">
        <v>153</v>
      </c>
      <c r="V14" s="255">
        <f>29/13</f>
        <v>2.2307692307692308</v>
      </c>
      <c r="W14" s="255"/>
    </row>
    <row r="15" spans="2:23" x14ac:dyDescent="0.2">
      <c r="G15" s="224"/>
      <c r="N15" s="238"/>
      <c r="P15" s="224"/>
    </row>
    <row r="16" spans="2:23" x14ac:dyDescent="0.2">
      <c r="G16" s="224"/>
      <c r="N16" s="238"/>
      <c r="P16" s="224"/>
      <c r="T16" s="238">
        <f>31/14</f>
        <v>2.2142857142857144</v>
      </c>
    </row>
    <row r="18" spans="2:19" x14ac:dyDescent="0.2">
      <c r="J18" s="224"/>
      <c r="K18" s="224"/>
      <c r="L18" s="224"/>
      <c r="P18" s="224" t="s">
        <v>178</v>
      </c>
      <c r="Q18" s="224">
        <f>+total_length/M11/c_speed</f>
        <v>278.29799739756248</v>
      </c>
      <c r="R18" s="224" t="s">
        <v>54</v>
      </c>
    </row>
    <row r="19" spans="2:19" x14ac:dyDescent="0.2">
      <c r="C19" s="378" t="s">
        <v>182</v>
      </c>
      <c r="D19" s="378"/>
      <c r="E19" s="378"/>
      <c r="F19" s="378"/>
      <c r="G19" s="378"/>
      <c r="H19" s="378"/>
      <c r="I19" s="378"/>
      <c r="J19" s="378"/>
      <c r="L19" s="224"/>
      <c r="P19" s="224"/>
      <c r="Q19" s="238"/>
      <c r="R19" s="238"/>
    </row>
    <row r="20" spans="2:19" ht="13.5" thickBot="1" x14ac:dyDescent="0.25">
      <c r="C20" s="227"/>
      <c r="D20" s="228"/>
      <c r="E20" s="228"/>
      <c r="F20" s="228"/>
      <c r="G20" s="229" t="s">
        <v>55</v>
      </c>
      <c r="H20" s="229" t="s">
        <v>55</v>
      </c>
      <c r="I20" s="229" t="s">
        <v>55</v>
      </c>
      <c r="J20" s="230" t="s">
        <v>55</v>
      </c>
      <c r="L20" s="224"/>
    </row>
    <row r="21" spans="2:19" x14ac:dyDescent="0.2">
      <c r="C21" s="231" t="s">
        <v>50</v>
      </c>
      <c r="D21" s="70" t="s">
        <v>49</v>
      </c>
      <c r="E21" s="70" t="s">
        <v>7</v>
      </c>
      <c r="F21" s="70" t="s">
        <v>48</v>
      </c>
      <c r="G21" s="70" t="s">
        <v>47</v>
      </c>
      <c r="H21" s="70" t="s">
        <v>46</v>
      </c>
      <c r="I21" s="70" t="s">
        <v>9</v>
      </c>
      <c r="J21" s="232" t="s">
        <v>45</v>
      </c>
      <c r="L21" s="244" t="s">
        <v>179</v>
      </c>
      <c r="M21" s="247">
        <f>+Q18-tof_slope*F11</f>
        <v>298.57879613822894</v>
      </c>
      <c r="N21" s="244" t="s">
        <v>54</v>
      </c>
      <c r="Q21" s="238"/>
      <c r="R21" s="238"/>
      <c r="S21" s="238"/>
    </row>
    <row r="22" spans="2:19" x14ac:dyDescent="0.2">
      <c r="C22" s="233">
        <v>1</v>
      </c>
      <c r="D22" s="358">
        <f t="shared" ref="D22:E25" si="2">+INT(H11+0.5)</f>
        <v>20</v>
      </c>
      <c r="E22" s="358">
        <f t="shared" si="2"/>
        <v>8</v>
      </c>
      <c r="F22" s="358">
        <f>+E22</f>
        <v>8</v>
      </c>
      <c r="G22" s="359">
        <f>+F11</f>
        <v>19.25</v>
      </c>
      <c r="H22" s="359"/>
      <c r="I22" s="359">
        <f>+G11</f>
        <v>313.67</v>
      </c>
      <c r="J22" s="360"/>
      <c r="L22" s="244" t="s">
        <v>175</v>
      </c>
      <c r="M22" s="246">
        <f>+(I13-I11)/(Q13-Q11)</f>
        <v>7.2704063799802841</v>
      </c>
      <c r="N22" s="245"/>
      <c r="P22" s="224"/>
      <c r="Q22" s="224" t="s">
        <v>86</v>
      </c>
      <c r="R22" s="224" t="s">
        <v>54</v>
      </c>
      <c r="S22" s="224" t="s">
        <v>167</v>
      </c>
    </row>
    <row r="23" spans="2:19" x14ac:dyDescent="0.2">
      <c r="C23" s="233">
        <v>2</v>
      </c>
      <c r="D23" s="358">
        <f t="shared" si="2"/>
        <v>17</v>
      </c>
      <c r="E23" s="358">
        <f t="shared" si="2"/>
        <v>8</v>
      </c>
      <c r="F23" s="358">
        <f t="shared" ref="F23:F25" si="3">+E23</f>
        <v>8</v>
      </c>
      <c r="G23" s="359">
        <f>+F12</f>
        <v>51.45</v>
      </c>
      <c r="H23" s="359"/>
      <c r="I23" s="359">
        <f>+G12</f>
        <v>237.17</v>
      </c>
      <c r="J23" s="360"/>
      <c r="L23" s="244" t="s">
        <v>174</v>
      </c>
      <c r="M23" s="246">
        <f>+I13-aZ*Q13</f>
        <v>-7.2907067013446181E-2</v>
      </c>
      <c r="N23" s="245"/>
      <c r="P23" s="224" t="s">
        <v>188</v>
      </c>
      <c r="Q23" s="226">
        <f>+F12-F$11</f>
        <v>32.200000000000003</v>
      </c>
      <c r="R23" s="225">
        <f>+Q23*tof_slope</f>
        <v>-33.924245166205708</v>
      </c>
      <c r="S23" s="225">
        <f>+total_length/M11/c_speed+R23</f>
        <v>244.37375223135678</v>
      </c>
    </row>
    <row r="24" spans="2:19" x14ac:dyDescent="0.2">
      <c r="C24" s="233">
        <v>3</v>
      </c>
      <c r="D24" s="358">
        <f t="shared" si="2"/>
        <v>34</v>
      </c>
      <c r="E24" s="358">
        <f t="shared" si="2"/>
        <v>14</v>
      </c>
      <c r="F24" s="358">
        <f t="shared" si="3"/>
        <v>14</v>
      </c>
      <c r="G24" s="359">
        <f>+F13</f>
        <v>25.76</v>
      </c>
      <c r="H24" s="359"/>
      <c r="I24" s="359">
        <f>+G13</f>
        <v>1108.3499999999999</v>
      </c>
      <c r="J24" s="360"/>
      <c r="L24" s="244" t="s">
        <v>171</v>
      </c>
      <c r="M24" s="246">
        <f>+(L13-L11)/(G13-G11)</f>
        <v>0.11569438408386262</v>
      </c>
      <c r="N24" s="245" t="s">
        <v>173</v>
      </c>
      <c r="P24" s="224"/>
      <c r="Q24" s="238"/>
      <c r="R24" s="238"/>
      <c r="S24" s="238"/>
    </row>
    <row r="25" spans="2:19" x14ac:dyDescent="0.2">
      <c r="C25" s="234">
        <v>4</v>
      </c>
      <c r="D25" s="361">
        <f t="shared" si="2"/>
        <v>51</v>
      </c>
      <c r="E25" s="361">
        <f t="shared" si="2"/>
        <v>21</v>
      </c>
      <c r="F25" s="361">
        <f t="shared" si="3"/>
        <v>21</v>
      </c>
      <c r="G25" s="362">
        <f>+F14</f>
        <v>26.085570000000001</v>
      </c>
      <c r="H25" s="362"/>
      <c r="I25" s="362">
        <f>+G14</f>
        <v>2642.3389999999999</v>
      </c>
      <c r="J25" s="363"/>
      <c r="L25" s="244" t="s">
        <v>172</v>
      </c>
      <c r="M25" s="246">
        <f>+L13-M24*G13</f>
        <v>10.676527931099628</v>
      </c>
      <c r="N25" s="245" t="s">
        <v>53</v>
      </c>
    </row>
    <row r="27" spans="2:19" x14ac:dyDescent="0.2">
      <c r="S27" s="238"/>
    </row>
    <row r="30" spans="2:19" x14ac:dyDescent="0.2">
      <c r="B30" s="238"/>
      <c r="C30" s="224"/>
      <c r="G30" s="224"/>
      <c r="H30" s="224"/>
    </row>
    <row r="31" spans="2:19" x14ac:dyDescent="0.2">
      <c r="C31" s="224"/>
      <c r="G31" s="224"/>
      <c r="H31" s="224"/>
    </row>
    <row r="32" spans="2:19" x14ac:dyDescent="0.2">
      <c r="C32" s="224"/>
      <c r="G32" s="224"/>
      <c r="H32" s="224"/>
    </row>
    <row r="33" spans="3:8" x14ac:dyDescent="0.2">
      <c r="C33" s="224"/>
      <c r="G33" s="224"/>
      <c r="H33" s="224"/>
    </row>
  </sheetData>
  <sheetProtection sheet="1" objects="1" scenarios="1"/>
  <mergeCells count="3">
    <mergeCell ref="C19:J19"/>
    <mergeCell ref="E8:G8"/>
    <mergeCell ref="C2:F2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r:id="rId4" name="Option Button 4">
              <controlPr defaultSize="0" autoFill="0" autoLine="0" autoPict="0">
                <anchor moveWithCells="1">
                  <from>
                    <xdr:col>8</xdr:col>
                    <xdr:colOff>209550</xdr:colOff>
                    <xdr:row>1</xdr:row>
                    <xdr:rowOff>142875</xdr:rowOff>
                  </from>
                  <to>
                    <xdr:col>12</xdr:col>
                    <xdr:colOff>361950</xdr:colOff>
                    <xdr:row>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5" name="Option Button 6">
              <controlPr defaultSize="0" autoFill="0" autoLine="0" autoPict="0">
                <anchor moveWithCells="1">
                  <from>
                    <xdr:col>8</xdr:col>
                    <xdr:colOff>209550</xdr:colOff>
                    <xdr:row>3</xdr:row>
                    <xdr:rowOff>142875</xdr:rowOff>
                  </from>
                  <to>
                    <xdr:col>12</xdr:col>
                    <xdr:colOff>523875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6" name="Group Box Mass">
              <controlPr defaultSize="0" autoFill="0" autoPict="0">
                <anchor moveWithCells="1">
                  <from>
                    <xdr:col>8</xdr:col>
                    <xdr:colOff>47625</xdr:colOff>
                    <xdr:row>1</xdr:row>
                    <xdr:rowOff>28575</xdr:rowOff>
                  </from>
                  <to>
                    <xdr:col>13</xdr:col>
                    <xdr:colOff>133350</xdr:colOff>
                    <xdr:row>6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O25"/>
  <sheetViews>
    <sheetView showGridLines="0" showRowColHeaders="0" workbookViewId="0">
      <selection activeCell="S12" sqref="S12"/>
    </sheetView>
  </sheetViews>
  <sheetFormatPr defaultRowHeight="12.75" x14ac:dyDescent="0.2"/>
  <cols>
    <col min="1" max="1" width="9.140625" style="117"/>
    <col min="2" max="2" width="11.42578125" style="119" customWidth="1"/>
    <col min="3" max="3" width="9.7109375" style="119" customWidth="1"/>
    <col min="4" max="4" width="11.7109375" style="119" customWidth="1"/>
    <col min="5" max="5" width="11" style="117" customWidth="1"/>
    <col min="6" max="6" width="11.28515625" style="117" customWidth="1"/>
    <col min="7" max="7" width="9.140625" style="117"/>
    <col min="8" max="8" width="9.85546875" style="119" customWidth="1"/>
    <col min="9" max="9" width="8.85546875" style="117" customWidth="1"/>
    <col min="10" max="10" width="8.85546875" style="118" customWidth="1"/>
    <col min="11" max="11" width="9.85546875" style="117" customWidth="1"/>
    <col min="12" max="12" width="23.42578125" style="117" customWidth="1"/>
    <col min="13" max="13" width="7.5703125" style="117" customWidth="1"/>
    <col min="14" max="14" width="6" style="117" customWidth="1"/>
    <col min="15" max="257" width="9.140625" style="117"/>
    <col min="258" max="258" width="11.42578125" style="117" customWidth="1"/>
    <col min="259" max="259" width="9.7109375" style="117" customWidth="1"/>
    <col min="260" max="260" width="11.7109375" style="117" customWidth="1"/>
    <col min="261" max="261" width="11" style="117" customWidth="1"/>
    <col min="262" max="262" width="11.28515625" style="117" customWidth="1"/>
    <col min="263" max="263" width="9.140625" style="117"/>
    <col min="264" max="264" width="9.85546875" style="117" customWidth="1"/>
    <col min="265" max="266" width="8.85546875" style="117" customWidth="1"/>
    <col min="267" max="267" width="9.85546875" style="117" customWidth="1"/>
    <col min="268" max="268" width="10.28515625" style="117" customWidth="1"/>
    <col min="269" max="269" width="7.5703125" style="117" customWidth="1"/>
    <col min="270" max="270" width="8.7109375" style="117" customWidth="1"/>
    <col min="271" max="513" width="9.140625" style="117"/>
    <col min="514" max="514" width="11.42578125" style="117" customWidth="1"/>
    <col min="515" max="515" width="9.7109375" style="117" customWidth="1"/>
    <col min="516" max="516" width="11.7109375" style="117" customWidth="1"/>
    <col min="517" max="517" width="11" style="117" customWidth="1"/>
    <col min="518" max="518" width="11.28515625" style="117" customWidth="1"/>
    <col min="519" max="519" width="9.140625" style="117"/>
    <col min="520" max="520" width="9.85546875" style="117" customWidth="1"/>
    <col min="521" max="522" width="8.85546875" style="117" customWidth="1"/>
    <col min="523" max="523" width="9.85546875" style="117" customWidth="1"/>
    <col min="524" max="524" width="10.28515625" style="117" customWidth="1"/>
    <col min="525" max="525" width="7.5703125" style="117" customWidth="1"/>
    <col min="526" max="526" width="8.7109375" style="117" customWidth="1"/>
    <col min="527" max="769" width="9.140625" style="117"/>
    <col min="770" max="770" width="11.42578125" style="117" customWidth="1"/>
    <col min="771" max="771" width="9.7109375" style="117" customWidth="1"/>
    <col min="772" max="772" width="11.7109375" style="117" customWidth="1"/>
    <col min="773" max="773" width="11" style="117" customWidth="1"/>
    <col min="774" max="774" width="11.28515625" style="117" customWidth="1"/>
    <col min="775" max="775" width="9.140625" style="117"/>
    <col min="776" max="776" width="9.85546875" style="117" customWidth="1"/>
    <col min="777" max="778" width="8.85546875" style="117" customWidth="1"/>
    <col min="779" max="779" width="9.85546875" style="117" customWidth="1"/>
    <col min="780" max="780" width="10.28515625" style="117" customWidth="1"/>
    <col min="781" max="781" width="7.5703125" style="117" customWidth="1"/>
    <col min="782" max="782" width="8.7109375" style="117" customWidth="1"/>
    <col min="783" max="1025" width="9.140625" style="117"/>
    <col min="1026" max="1026" width="11.42578125" style="117" customWidth="1"/>
    <col min="1027" max="1027" width="9.7109375" style="117" customWidth="1"/>
    <col min="1028" max="1028" width="11.7109375" style="117" customWidth="1"/>
    <col min="1029" max="1029" width="11" style="117" customWidth="1"/>
    <col min="1030" max="1030" width="11.28515625" style="117" customWidth="1"/>
    <col min="1031" max="1031" width="9.140625" style="117"/>
    <col min="1032" max="1032" width="9.85546875" style="117" customWidth="1"/>
    <col min="1033" max="1034" width="8.85546875" style="117" customWidth="1"/>
    <col min="1035" max="1035" width="9.85546875" style="117" customWidth="1"/>
    <col min="1036" max="1036" width="10.28515625" style="117" customWidth="1"/>
    <col min="1037" max="1037" width="7.5703125" style="117" customWidth="1"/>
    <col min="1038" max="1038" width="8.7109375" style="117" customWidth="1"/>
    <col min="1039" max="1281" width="9.140625" style="117"/>
    <col min="1282" max="1282" width="11.42578125" style="117" customWidth="1"/>
    <col min="1283" max="1283" width="9.7109375" style="117" customWidth="1"/>
    <col min="1284" max="1284" width="11.7109375" style="117" customWidth="1"/>
    <col min="1285" max="1285" width="11" style="117" customWidth="1"/>
    <col min="1286" max="1286" width="11.28515625" style="117" customWidth="1"/>
    <col min="1287" max="1287" width="9.140625" style="117"/>
    <col min="1288" max="1288" width="9.85546875" style="117" customWidth="1"/>
    <col min="1289" max="1290" width="8.85546875" style="117" customWidth="1"/>
    <col min="1291" max="1291" width="9.85546875" style="117" customWidth="1"/>
    <col min="1292" max="1292" width="10.28515625" style="117" customWidth="1"/>
    <col min="1293" max="1293" width="7.5703125" style="117" customWidth="1"/>
    <col min="1294" max="1294" width="8.7109375" style="117" customWidth="1"/>
    <col min="1295" max="1537" width="9.140625" style="117"/>
    <col min="1538" max="1538" width="11.42578125" style="117" customWidth="1"/>
    <col min="1539" max="1539" width="9.7109375" style="117" customWidth="1"/>
    <col min="1540" max="1540" width="11.7109375" style="117" customWidth="1"/>
    <col min="1541" max="1541" width="11" style="117" customWidth="1"/>
    <col min="1542" max="1542" width="11.28515625" style="117" customWidth="1"/>
    <col min="1543" max="1543" width="9.140625" style="117"/>
    <col min="1544" max="1544" width="9.85546875" style="117" customWidth="1"/>
    <col min="1545" max="1546" width="8.85546875" style="117" customWidth="1"/>
    <col min="1547" max="1547" width="9.85546875" style="117" customWidth="1"/>
    <col min="1548" max="1548" width="10.28515625" style="117" customWidth="1"/>
    <col min="1549" max="1549" width="7.5703125" style="117" customWidth="1"/>
    <col min="1550" max="1550" width="8.7109375" style="117" customWidth="1"/>
    <col min="1551" max="1793" width="9.140625" style="117"/>
    <col min="1794" max="1794" width="11.42578125" style="117" customWidth="1"/>
    <col min="1795" max="1795" width="9.7109375" style="117" customWidth="1"/>
    <col min="1796" max="1796" width="11.7109375" style="117" customWidth="1"/>
    <col min="1797" max="1797" width="11" style="117" customWidth="1"/>
    <col min="1798" max="1798" width="11.28515625" style="117" customWidth="1"/>
    <col min="1799" max="1799" width="9.140625" style="117"/>
    <col min="1800" max="1800" width="9.85546875" style="117" customWidth="1"/>
    <col min="1801" max="1802" width="8.85546875" style="117" customWidth="1"/>
    <col min="1803" max="1803" width="9.85546875" style="117" customWidth="1"/>
    <col min="1804" max="1804" width="10.28515625" style="117" customWidth="1"/>
    <col min="1805" max="1805" width="7.5703125" style="117" customWidth="1"/>
    <col min="1806" max="1806" width="8.7109375" style="117" customWidth="1"/>
    <col min="1807" max="2049" width="9.140625" style="117"/>
    <col min="2050" max="2050" width="11.42578125" style="117" customWidth="1"/>
    <col min="2051" max="2051" width="9.7109375" style="117" customWidth="1"/>
    <col min="2052" max="2052" width="11.7109375" style="117" customWidth="1"/>
    <col min="2053" max="2053" width="11" style="117" customWidth="1"/>
    <col min="2054" max="2054" width="11.28515625" style="117" customWidth="1"/>
    <col min="2055" max="2055" width="9.140625" style="117"/>
    <col min="2056" max="2056" width="9.85546875" style="117" customWidth="1"/>
    <col min="2057" max="2058" width="8.85546875" style="117" customWidth="1"/>
    <col min="2059" max="2059" width="9.85546875" style="117" customWidth="1"/>
    <col min="2060" max="2060" width="10.28515625" style="117" customWidth="1"/>
    <col min="2061" max="2061" width="7.5703125" style="117" customWidth="1"/>
    <col min="2062" max="2062" width="8.7109375" style="117" customWidth="1"/>
    <col min="2063" max="2305" width="9.140625" style="117"/>
    <col min="2306" max="2306" width="11.42578125" style="117" customWidth="1"/>
    <col min="2307" max="2307" width="9.7109375" style="117" customWidth="1"/>
    <col min="2308" max="2308" width="11.7109375" style="117" customWidth="1"/>
    <col min="2309" max="2309" width="11" style="117" customWidth="1"/>
    <col min="2310" max="2310" width="11.28515625" style="117" customWidth="1"/>
    <col min="2311" max="2311" width="9.140625" style="117"/>
    <col min="2312" max="2312" width="9.85546875" style="117" customWidth="1"/>
    <col min="2313" max="2314" width="8.85546875" style="117" customWidth="1"/>
    <col min="2315" max="2315" width="9.85546875" style="117" customWidth="1"/>
    <col min="2316" max="2316" width="10.28515625" style="117" customWidth="1"/>
    <col min="2317" max="2317" width="7.5703125" style="117" customWidth="1"/>
    <col min="2318" max="2318" width="8.7109375" style="117" customWidth="1"/>
    <col min="2319" max="2561" width="9.140625" style="117"/>
    <col min="2562" max="2562" width="11.42578125" style="117" customWidth="1"/>
    <col min="2563" max="2563" width="9.7109375" style="117" customWidth="1"/>
    <col min="2564" max="2564" width="11.7109375" style="117" customWidth="1"/>
    <col min="2565" max="2565" width="11" style="117" customWidth="1"/>
    <col min="2566" max="2566" width="11.28515625" style="117" customWidth="1"/>
    <col min="2567" max="2567" width="9.140625" style="117"/>
    <col min="2568" max="2568" width="9.85546875" style="117" customWidth="1"/>
    <col min="2569" max="2570" width="8.85546875" style="117" customWidth="1"/>
    <col min="2571" max="2571" width="9.85546875" style="117" customWidth="1"/>
    <col min="2572" max="2572" width="10.28515625" style="117" customWidth="1"/>
    <col min="2573" max="2573" width="7.5703125" style="117" customWidth="1"/>
    <col min="2574" max="2574" width="8.7109375" style="117" customWidth="1"/>
    <col min="2575" max="2817" width="9.140625" style="117"/>
    <col min="2818" max="2818" width="11.42578125" style="117" customWidth="1"/>
    <col min="2819" max="2819" width="9.7109375" style="117" customWidth="1"/>
    <col min="2820" max="2820" width="11.7109375" style="117" customWidth="1"/>
    <col min="2821" max="2821" width="11" style="117" customWidth="1"/>
    <col min="2822" max="2822" width="11.28515625" style="117" customWidth="1"/>
    <col min="2823" max="2823" width="9.140625" style="117"/>
    <col min="2824" max="2824" width="9.85546875" style="117" customWidth="1"/>
    <col min="2825" max="2826" width="8.85546875" style="117" customWidth="1"/>
    <col min="2827" max="2827" width="9.85546875" style="117" customWidth="1"/>
    <col min="2828" max="2828" width="10.28515625" style="117" customWidth="1"/>
    <col min="2829" max="2829" width="7.5703125" style="117" customWidth="1"/>
    <col min="2830" max="2830" width="8.7109375" style="117" customWidth="1"/>
    <col min="2831" max="3073" width="9.140625" style="117"/>
    <col min="3074" max="3074" width="11.42578125" style="117" customWidth="1"/>
    <col min="3075" max="3075" width="9.7109375" style="117" customWidth="1"/>
    <col min="3076" max="3076" width="11.7109375" style="117" customWidth="1"/>
    <col min="3077" max="3077" width="11" style="117" customWidth="1"/>
    <col min="3078" max="3078" width="11.28515625" style="117" customWidth="1"/>
    <col min="3079" max="3079" width="9.140625" style="117"/>
    <col min="3080" max="3080" width="9.85546875" style="117" customWidth="1"/>
    <col min="3081" max="3082" width="8.85546875" style="117" customWidth="1"/>
    <col min="3083" max="3083" width="9.85546875" style="117" customWidth="1"/>
    <col min="3084" max="3084" width="10.28515625" style="117" customWidth="1"/>
    <col min="3085" max="3085" width="7.5703125" style="117" customWidth="1"/>
    <col min="3086" max="3086" width="8.7109375" style="117" customWidth="1"/>
    <col min="3087" max="3329" width="9.140625" style="117"/>
    <col min="3330" max="3330" width="11.42578125" style="117" customWidth="1"/>
    <col min="3331" max="3331" width="9.7109375" style="117" customWidth="1"/>
    <col min="3332" max="3332" width="11.7109375" style="117" customWidth="1"/>
    <col min="3333" max="3333" width="11" style="117" customWidth="1"/>
    <col min="3334" max="3334" width="11.28515625" style="117" customWidth="1"/>
    <col min="3335" max="3335" width="9.140625" style="117"/>
    <col min="3336" max="3336" width="9.85546875" style="117" customWidth="1"/>
    <col min="3337" max="3338" width="8.85546875" style="117" customWidth="1"/>
    <col min="3339" max="3339" width="9.85546875" style="117" customWidth="1"/>
    <col min="3340" max="3340" width="10.28515625" style="117" customWidth="1"/>
    <col min="3341" max="3341" width="7.5703125" style="117" customWidth="1"/>
    <col min="3342" max="3342" width="8.7109375" style="117" customWidth="1"/>
    <col min="3343" max="3585" width="9.140625" style="117"/>
    <col min="3586" max="3586" width="11.42578125" style="117" customWidth="1"/>
    <col min="3587" max="3587" width="9.7109375" style="117" customWidth="1"/>
    <col min="3588" max="3588" width="11.7109375" style="117" customWidth="1"/>
    <col min="3589" max="3589" width="11" style="117" customWidth="1"/>
    <col min="3590" max="3590" width="11.28515625" style="117" customWidth="1"/>
    <col min="3591" max="3591" width="9.140625" style="117"/>
    <col min="3592" max="3592" width="9.85546875" style="117" customWidth="1"/>
    <col min="3593" max="3594" width="8.85546875" style="117" customWidth="1"/>
    <col min="3595" max="3595" width="9.85546875" style="117" customWidth="1"/>
    <col min="3596" max="3596" width="10.28515625" style="117" customWidth="1"/>
    <col min="3597" max="3597" width="7.5703125" style="117" customWidth="1"/>
    <col min="3598" max="3598" width="8.7109375" style="117" customWidth="1"/>
    <col min="3599" max="3841" width="9.140625" style="117"/>
    <col min="3842" max="3842" width="11.42578125" style="117" customWidth="1"/>
    <col min="3843" max="3843" width="9.7109375" style="117" customWidth="1"/>
    <col min="3844" max="3844" width="11.7109375" style="117" customWidth="1"/>
    <col min="3845" max="3845" width="11" style="117" customWidth="1"/>
    <col min="3846" max="3846" width="11.28515625" style="117" customWidth="1"/>
    <col min="3847" max="3847" width="9.140625" style="117"/>
    <col min="3848" max="3848" width="9.85546875" style="117" customWidth="1"/>
    <col min="3849" max="3850" width="8.85546875" style="117" customWidth="1"/>
    <col min="3851" max="3851" width="9.85546875" style="117" customWidth="1"/>
    <col min="3852" max="3852" width="10.28515625" style="117" customWidth="1"/>
    <col min="3853" max="3853" width="7.5703125" style="117" customWidth="1"/>
    <col min="3854" max="3854" width="8.7109375" style="117" customWidth="1"/>
    <col min="3855" max="4097" width="9.140625" style="117"/>
    <col min="4098" max="4098" width="11.42578125" style="117" customWidth="1"/>
    <col min="4099" max="4099" width="9.7109375" style="117" customWidth="1"/>
    <col min="4100" max="4100" width="11.7109375" style="117" customWidth="1"/>
    <col min="4101" max="4101" width="11" style="117" customWidth="1"/>
    <col min="4102" max="4102" width="11.28515625" style="117" customWidth="1"/>
    <col min="4103" max="4103" width="9.140625" style="117"/>
    <col min="4104" max="4104" width="9.85546875" style="117" customWidth="1"/>
    <col min="4105" max="4106" width="8.85546875" style="117" customWidth="1"/>
    <col min="4107" max="4107" width="9.85546875" style="117" customWidth="1"/>
    <col min="4108" max="4108" width="10.28515625" style="117" customWidth="1"/>
    <col min="4109" max="4109" width="7.5703125" style="117" customWidth="1"/>
    <col min="4110" max="4110" width="8.7109375" style="117" customWidth="1"/>
    <col min="4111" max="4353" width="9.140625" style="117"/>
    <col min="4354" max="4354" width="11.42578125" style="117" customWidth="1"/>
    <col min="4355" max="4355" width="9.7109375" style="117" customWidth="1"/>
    <col min="4356" max="4356" width="11.7109375" style="117" customWidth="1"/>
    <col min="4357" max="4357" width="11" style="117" customWidth="1"/>
    <col min="4358" max="4358" width="11.28515625" style="117" customWidth="1"/>
    <col min="4359" max="4359" width="9.140625" style="117"/>
    <col min="4360" max="4360" width="9.85546875" style="117" customWidth="1"/>
    <col min="4361" max="4362" width="8.85546875" style="117" customWidth="1"/>
    <col min="4363" max="4363" width="9.85546875" style="117" customWidth="1"/>
    <col min="4364" max="4364" width="10.28515625" style="117" customWidth="1"/>
    <col min="4365" max="4365" width="7.5703125" style="117" customWidth="1"/>
    <col min="4366" max="4366" width="8.7109375" style="117" customWidth="1"/>
    <col min="4367" max="4609" width="9.140625" style="117"/>
    <col min="4610" max="4610" width="11.42578125" style="117" customWidth="1"/>
    <col min="4611" max="4611" width="9.7109375" style="117" customWidth="1"/>
    <col min="4612" max="4612" width="11.7109375" style="117" customWidth="1"/>
    <col min="4613" max="4613" width="11" style="117" customWidth="1"/>
    <col min="4614" max="4614" width="11.28515625" style="117" customWidth="1"/>
    <col min="4615" max="4615" width="9.140625" style="117"/>
    <col min="4616" max="4616" width="9.85546875" style="117" customWidth="1"/>
    <col min="4617" max="4618" width="8.85546875" style="117" customWidth="1"/>
    <col min="4619" max="4619" width="9.85546875" style="117" customWidth="1"/>
    <col min="4620" max="4620" width="10.28515625" style="117" customWidth="1"/>
    <col min="4621" max="4621" width="7.5703125" style="117" customWidth="1"/>
    <col min="4622" max="4622" width="8.7109375" style="117" customWidth="1"/>
    <col min="4623" max="4865" width="9.140625" style="117"/>
    <col min="4866" max="4866" width="11.42578125" style="117" customWidth="1"/>
    <col min="4867" max="4867" width="9.7109375" style="117" customWidth="1"/>
    <col min="4868" max="4868" width="11.7109375" style="117" customWidth="1"/>
    <col min="4869" max="4869" width="11" style="117" customWidth="1"/>
    <col min="4870" max="4870" width="11.28515625" style="117" customWidth="1"/>
    <col min="4871" max="4871" width="9.140625" style="117"/>
    <col min="4872" max="4872" width="9.85546875" style="117" customWidth="1"/>
    <col min="4873" max="4874" width="8.85546875" style="117" customWidth="1"/>
    <col min="4875" max="4875" width="9.85546875" style="117" customWidth="1"/>
    <col min="4876" max="4876" width="10.28515625" style="117" customWidth="1"/>
    <col min="4877" max="4877" width="7.5703125" style="117" customWidth="1"/>
    <col min="4878" max="4878" width="8.7109375" style="117" customWidth="1"/>
    <col min="4879" max="5121" width="9.140625" style="117"/>
    <col min="5122" max="5122" width="11.42578125" style="117" customWidth="1"/>
    <col min="5123" max="5123" width="9.7109375" style="117" customWidth="1"/>
    <col min="5124" max="5124" width="11.7109375" style="117" customWidth="1"/>
    <col min="5125" max="5125" width="11" style="117" customWidth="1"/>
    <col min="5126" max="5126" width="11.28515625" style="117" customWidth="1"/>
    <col min="5127" max="5127" width="9.140625" style="117"/>
    <col min="5128" max="5128" width="9.85546875" style="117" customWidth="1"/>
    <col min="5129" max="5130" width="8.85546875" style="117" customWidth="1"/>
    <col min="5131" max="5131" width="9.85546875" style="117" customWidth="1"/>
    <col min="5132" max="5132" width="10.28515625" style="117" customWidth="1"/>
    <col min="5133" max="5133" width="7.5703125" style="117" customWidth="1"/>
    <col min="5134" max="5134" width="8.7109375" style="117" customWidth="1"/>
    <col min="5135" max="5377" width="9.140625" style="117"/>
    <col min="5378" max="5378" width="11.42578125" style="117" customWidth="1"/>
    <col min="5379" max="5379" width="9.7109375" style="117" customWidth="1"/>
    <col min="5380" max="5380" width="11.7109375" style="117" customWidth="1"/>
    <col min="5381" max="5381" width="11" style="117" customWidth="1"/>
    <col min="5382" max="5382" width="11.28515625" style="117" customWidth="1"/>
    <col min="5383" max="5383" width="9.140625" style="117"/>
    <col min="5384" max="5384" width="9.85546875" style="117" customWidth="1"/>
    <col min="5385" max="5386" width="8.85546875" style="117" customWidth="1"/>
    <col min="5387" max="5387" width="9.85546875" style="117" customWidth="1"/>
    <col min="5388" max="5388" width="10.28515625" style="117" customWidth="1"/>
    <col min="5389" max="5389" width="7.5703125" style="117" customWidth="1"/>
    <col min="5390" max="5390" width="8.7109375" style="117" customWidth="1"/>
    <col min="5391" max="5633" width="9.140625" style="117"/>
    <col min="5634" max="5634" width="11.42578125" style="117" customWidth="1"/>
    <col min="5635" max="5635" width="9.7109375" style="117" customWidth="1"/>
    <col min="5636" max="5636" width="11.7109375" style="117" customWidth="1"/>
    <col min="5637" max="5637" width="11" style="117" customWidth="1"/>
    <col min="5638" max="5638" width="11.28515625" style="117" customWidth="1"/>
    <col min="5639" max="5639" width="9.140625" style="117"/>
    <col min="5640" max="5640" width="9.85546875" style="117" customWidth="1"/>
    <col min="5641" max="5642" width="8.85546875" style="117" customWidth="1"/>
    <col min="5643" max="5643" width="9.85546875" style="117" customWidth="1"/>
    <col min="5644" max="5644" width="10.28515625" style="117" customWidth="1"/>
    <col min="5645" max="5645" width="7.5703125" style="117" customWidth="1"/>
    <col min="5646" max="5646" width="8.7109375" style="117" customWidth="1"/>
    <col min="5647" max="5889" width="9.140625" style="117"/>
    <col min="5890" max="5890" width="11.42578125" style="117" customWidth="1"/>
    <col min="5891" max="5891" width="9.7109375" style="117" customWidth="1"/>
    <col min="5892" max="5892" width="11.7109375" style="117" customWidth="1"/>
    <col min="5893" max="5893" width="11" style="117" customWidth="1"/>
    <col min="5894" max="5894" width="11.28515625" style="117" customWidth="1"/>
    <col min="5895" max="5895" width="9.140625" style="117"/>
    <col min="5896" max="5896" width="9.85546875" style="117" customWidth="1"/>
    <col min="5897" max="5898" width="8.85546875" style="117" customWidth="1"/>
    <col min="5899" max="5899" width="9.85546875" style="117" customWidth="1"/>
    <col min="5900" max="5900" width="10.28515625" style="117" customWidth="1"/>
    <col min="5901" max="5901" width="7.5703125" style="117" customWidth="1"/>
    <col min="5902" max="5902" width="8.7109375" style="117" customWidth="1"/>
    <col min="5903" max="6145" width="9.140625" style="117"/>
    <col min="6146" max="6146" width="11.42578125" style="117" customWidth="1"/>
    <col min="6147" max="6147" width="9.7109375" style="117" customWidth="1"/>
    <col min="6148" max="6148" width="11.7109375" style="117" customWidth="1"/>
    <col min="6149" max="6149" width="11" style="117" customWidth="1"/>
    <col min="6150" max="6150" width="11.28515625" style="117" customWidth="1"/>
    <col min="6151" max="6151" width="9.140625" style="117"/>
    <col min="6152" max="6152" width="9.85546875" style="117" customWidth="1"/>
    <col min="6153" max="6154" width="8.85546875" style="117" customWidth="1"/>
    <col min="6155" max="6155" width="9.85546875" style="117" customWidth="1"/>
    <col min="6156" max="6156" width="10.28515625" style="117" customWidth="1"/>
    <col min="6157" max="6157" width="7.5703125" style="117" customWidth="1"/>
    <col min="6158" max="6158" width="8.7109375" style="117" customWidth="1"/>
    <col min="6159" max="6401" width="9.140625" style="117"/>
    <col min="6402" max="6402" width="11.42578125" style="117" customWidth="1"/>
    <col min="6403" max="6403" width="9.7109375" style="117" customWidth="1"/>
    <col min="6404" max="6404" width="11.7109375" style="117" customWidth="1"/>
    <col min="6405" max="6405" width="11" style="117" customWidth="1"/>
    <col min="6406" max="6406" width="11.28515625" style="117" customWidth="1"/>
    <col min="6407" max="6407" width="9.140625" style="117"/>
    <col min="6408" max="6408" width="9.85546875" style="117" customWidth="1"/>
    <col min="6409" max="6410" width="8.85546875" style="117" customWidth="1"/>
    <col min="6411" max="6411" width="9.85546875" style="117" customWidth="1"/>
    <col min="6412" max="6412" width="10.28515625" style="117" customWidth="1"/>
    <col min="6413" max="6413" width="7.5703125" style="117" customWidth="1"/>
    <col min="6414" max="6414" width="8.7109375" style="117" customWidth="1"/>
    <col min="6415" max="6657" width="9.140625" style="117"/>
    <col min="6658" max="6658" width="11.42578125" style="117" customWidth="1"/>
    <col min="6659" max="6659" width="9.7109375" style="117" customWidth="1"/>
    <col min="6660" max="6660" width="11.7109375" style="117" customWidth="1"/>
    <col min="6661" max="6661" width="11" style="117" customWidth="1"/>
    <col min="6662" max="6662" width="11.28515625" style="117" customWidth="1"/>
    <col min="6663" max="6663" width="9.140625" style="117"/>
    <col min="6664" max="6664" width="9.85546875" style="117" customWidth="1"/>
    <col min="6665" max="6666" width="8.85546875" style="117" customWidth="1"/>
    <col min="6667" max="6667" width="9.85546875" style="117" customWidth="1"/>
    <col min="6668" max="6668" width="10.28515625" style="117" customWidth="1"/>
    <col min="6669" max="6669" width="7.5703125" style="117" customWidth="1"/>
    <col min="6670" max="6670" width="8.7109375" style="117" customWidth="1"/>
    <col min="6671" max="6913" width="9.140625" style="117"/>
    <col min="6914" max="6914" width="11.42578125" style="117" customWidth="1"/>
    <col min="6915" max="6915" width="9.7109375" style="117" customWidth="1"/>
    <col min="6916" max="6916" width="11.7109375" style="117" customWidth="1"/>
    <col min="6917" max="6917" width="11" style="117" customWidth="1"/>
    <col min="6918" max="6918" width="11.28515625" style="117" customWidth="1"/>
    <col min="6919" max="6919" width="9.140625" style="117"/>
    <col min="6920" max="6920" width="9.85546875" style="117" customWidth="1"/>
    <col min="6921" max="6922" width="8.85546875" style="117" customWidth="1"/>
    <col min="6923" max="6923" width="9.85546875" style="117" customWidth="1"/>
    <col min="6924" max="6924" width="10.28515625" style="117" customWidth="1"/>
    <col min="6925" max="6925" width="7.5703125" style="117" customWidth="1"/>
    <col min="6926" max="6926" width="8.7109375" style="117" customWidth="1"/>
    <col min="6927" max="7169" width="9.140625" style="117"/>
    <col min="7170" max="7170" width="11.42578125" style="117" customWidth="1"/>
    <col min="7171" max="7171" width="9.7109375" style="117" customWidth="1"/>
    <col min="7172" max="7172" width="11.7109375" style="117" customWidth="1"/>
    <col min="7173" max="7173" width="11" style="117" customWidth="1"/>
    <col min="7174" max="7174" width="11.28515625" style="117" customWidth="1"/>
    <col min="7175" max="7175" width="9.140625" style="117"/>
    <col min="7176" max="7176" width="9.85546875" style="117" customWidth="1"/>
    <col min="7177" max="7178" width="8.85546875" style="117" customWidth="1"/>
    <col min="7179" max="7179" width="9.85546875" style="117" customWidth="1"/>
    <col min="7180" max="7180" width="10.28515625" style="117" customWidth="1"/>
    <col min="7181" max="7181" width="7.5703125" style="117" customWidth="1"/>
    <col min="7182" max="7182" width="8.7109375" style="117" customWidth="1"/>
    <col min="7183" max="7425" width="9.140625" style="117"/>
    <col min="7426" max="7426" width="11.42578125" style="117" customWidth="1"/>
    <col min="7427" max="7427" width="9.7109375" style="117" customWidth="1"/>
    <col min="7428" max="7428" width="11.7109375" style="117" customWidth="1"/>
    <col min="7429" max="7429" width="11" style="117" customWidth="1"/>
    <col min="7430" max="7430" width="11.28515625" style="117" customWidth="1"/>
    <col min="7431" max="7431" width="9.140625" style="117"/>
    <col min="7432" max="7432" width="9.85546875" style="117" customWidth="1"/>
    <col min="7433" max="7434" width="8.85546875" style="117" customWidth="1"/>
    <col min="7435" max="7435" width="9.85546875" style="117" customWidth="1"/>
    <col min="7436" max="7436" width="10.28515625" style="117" customWidth="1"/>
    <col min="7437" max="7437" width="7.5703125" style="117" customWidth="1"/>
    <col min="7438" max="7438" width="8.7109375" style="117" customWidth="1"/>
    <col min="7439" max="7681" width="9.140625" style="117"/>
    <col min="7682" max="7682" width="11.42578125" style="117" customWidth="1"/>
    <col min="7683" max="7683" width="9.7109375" style="117" customWidth="1"/>
    <col min="7684" max="7684" width="11.7109375" style="117" customWidth="1"/>
    <col min="7685" max="7685" width="11" style="117" customWidth="1"/>
    <col min="7686" max="7686" width="11.28515625" style="117" customWidth="1"/>
    <col min="7687" max="7687" width="9.140625" style="117"/>
    <col min="7688" max="7688" width="9.85546875" style="117" customWidth="1"/>
    <col min="7689" max="7690" width="8.85546875" style="117" customWidth="1"/>
    <col min="7691" max="7691" width="9.85546875" style="117" customWidth="1"/>
    <col min="7692" max="7692" width="10.28515625" style="117" customWidth="1"/>
    <col min="7693" max="7693" width="7.5703125" style="117" customWidth="1"/>
    <col min="7694" max="7694" width="8.7109375" style="117" customWidth="1"/>
    <col min="7695" max="7937" width="9.140625" style="117"/>
    <col min="7938" max="7938" width="11.42578125" style="117" customWidth="1"/>
    <col min="7939" max="7939" width="9.7109375" style="117" customWidth="1"/>
    <col min="7940" max="7940" width="11.7109375" style="117" customWidth="1"/>
    <col min="7941" max="7941" width="11" style="117" customWidth="1"/>
    <col min="7942" max="7942" width="11.28515625" style="117" customWidth="1"/>
    <col min="7943" max="7943" width="9.140625" style="117"/>
    <col min="7944" max="7944" width="9.85546875" style="117" customWidth="1"/>
    <col min="7945" max="7946" width="8.85546875" style="117" customWidth="1"/>
    <col min="7947" max="7947" width="9.85546875" style="117" customWidth="1"/>
    <col min="7948" max="7948" width="10.28515625" style="117" customWidth="1"/>
    <col min="7949" max="7949" width="7.5703125" style="117" customWidth="1"/>
    <col min="7950" max="7950" width="8.7109375" style="117" customWidth="1"/>
    <col min="7951" max="8193" width="9.140625" style="117"/>
    <col min="8194" max="8194" width="11.42578125" style="117" customWidth="1"/>
    <col min="8195" max="8195" width="9.7109375" style="117" customWidth="1"/>
    <col min="8196" max="8196" width="11.7109375" style="117" customWidth="1"/>
    <col min="8197" max="8197" width="11" style="117" customWidth="1"/>
    <col min="8198" max="8198" width="11.28515625" style="117" customWidth="1"/>
    <col min="8199" max="8199" width="9.140625" style="117"/>
    <col min="8200" max="8200" width="9.85546875" style="117" customWidth="1"/>
    <col min="8201" max="8202" width="8.85546875" style="117" customWidth="1"/>
    <col min="8203" max="8203" width="9.85546875" style="117" customWidth="1"/>
    <col min="8204" max="8204" width="10.28515625" style="117" customWidth="1"/>
    <col min="8205" max="8205" width="7.5703125" style="117" customWidth="1"/>
    <col min="8206" max="8206" width="8.7109375" style="117" customWidth="1"/>
    <col min="8207" max="8449" width="9.140625" style="117"/>
    <col min="8450" max="8450" width="11.42578125" style="117" customWidth="1"/>
    <col min="8451" max="8451" width="9.7109375" style="117" customWidth="1"/>
    <col min="8452" max="8452" width="11.7109375" style="117" customWidth="1"/>
    <col min="8453" max="8453" width="11" style="117" customWidth="1"/>
    <col min="8454" max="8454" width="11.28515625" style="117" customWidth="1"/>
    <col min="8455" max="8455" width="9.140625" style="117"/>
    <col min="8456" max="8456" width="9.85546875" style="117" customWidth="1"/>
    <col min="8457" max="8458" width="8.85546875" style="117" customWidth="1"/>
    <col min="8459" max="8459" width="9.85546875" style="117" customWidth="1"/>
    <col min="8460" max="8460" width="10.28515625" style="117" customWidth="1"/>
    <col min="8461" max="8461" width="7.5703125" style="117" customWidth="1"/>
    <col min="8462" max="8462" width="8.7109375" style="117" customWidth="1"/>
    <col min="8463" max="8705" width="9.140625" style="117"/>
    <col min="8706" max="8706" width="11.42578125" style="117" customWidth="1"/>
    <col min="8707" max="8707" width="9.7109375" style="117" customWidth="1"/>
    <col min="8708" max="8708" width="11.7109375" style="117" customWidth="1"/>
    <col min="8709" max="8709" width="11" style="117" customWidth="1"/>
    <col min="8710" max="8710" width="11.28515625" style="117" customWidth="1"/>
    <col min="8711" max="8711" width="9.140625" style="117"/>
    <col min="8712" max="8712" width="9.85546875" style="117" customWidth="1"/>
    <col min="8713" max="8714" width="8.85546875" style="117" customWidth="1"/>
    <col min="8715" max="8715" width="9.85546875" style="117" customWidth="1"/>
    <col min="8716" max="8716" width="10.28515625" style="117" customWidth="1"/>
    <col min="8717" max="8717" width="7.5703125" style="117" customWidth="1"/>
    <col min="8718" max="8718" width="8.7109375" style="117" customWidth="1"/>
    <col min="8719" max="8961" width="9.140625" style="117"/>
    <col min="8962" max="8962" width="11.42578125" style="117" customWidth="1"/>
    <col min="8963" max="8963" width="9.7109375" style="117" customWidth="1"/>
    <col min="8964" max="8964" width="11.7109375" style="117" customWidth="1"/>
    <col min="8965" max="8965" width="11" style="117" customWidth="1"/>
    <col min="8966" max="8966" width="11.28515625" style="117" customWidth="1"/>
    <col min="8967" max="8967" width="9.140625" style="117"/>
    <col min="8968" max="8968" width="9.85546875" style="117" customWidth="1"/>
    <col min="8969" max="8970" width="8.85546875" style="117" customWidth="1"/>
    <col min="8971" max="8971" width="9.85546875" style="117" customWidth="1"/>
    <col min="8972" max="8972" width="10.28515625" style="117" customWidth="1"/>
    <col min="8973" max="8973" width="7.5703125" style="117" customWidth="1"/>
    <col min="8974" max="8974" width="8.7109375" style="117" customWidth="1"/>
    <col min="8975" max="9217" width="9.140625" style="117"/>
    <col min="9218" max="9218" width="11.42578125" style="117" customWidth="1"/>
    <col min="9219" max="9219" width="9.7109375" style="117" customWidth="1"/>
    <col min="9220" max="9220" width="11.7109375" style="117" customWidth="1"/>
    <col min="9221" max="9221" width="11" style="117" customWidth="1"/>
    <col min="9222" max="9222" width="11.28515625" style="117" customWidth="1"/>
    <col min="9223" max="9223" width="9.140625" style="117"/>
    <col min="9224" max="9224" width="9.85546875" style="117" customWidth="1"/>
    <col min="9225" max="9226" width="8.85546875" style="117" customWidth="1"/>
    <col min="9227" max="9227" width="9.85546875" style="117" customWidth="1"/>
    <col min="9228" max="9228" width="10.28515625" style="117" customWidth="1"/>
    <col min="9229" max="9229" width="7.5703125" style="117" customWidth="1"/>
    <col min="9230" max="9230" width="8.7109375" style="117" customWidth="1"/>
    <col min="9231" max="9473" width="9.140625" style="117"/>
    <col min="9474" max="9474" width="11.42578125" style="117" customWidth="1"/>
    <col min="9475" max="9475" width="9.7109375" style="117" customWidth="1"/>
    <col min="9476" max="9476" width="11.7109375" style="117" customWidth="1"/>
    <col min="9477" max="9477" width="11" style="117" customWidth="1"/>
    <col min="9478" max="9478" width="11.28515625" style="117" customWidth="1"/>
    <col min="9479" max="9479" width="9.140625" style="117"/>
    <col min="9480" max="9480" width="9.85546875" style="117" customWidth="1"/>
    <col min="9481" max="9482" width="8.85546875" style="117" customWidth="1"/>
    <col min="9483" max="9483" width="9.85546875" style="117" customWidth="1"/>
    <col min="9484" max="9484" width="10.28515625" style="117" customWidth="1"/>
    <col min="9485" max="9485" width="7.5703125" style="117" customWidth="1"/>
    <col min="9486" max="9486" width="8.7109375" style="117" customWidth="1"/>
    <col min="9487" max="9729" width="9.140625" style="117"/>
    <col min="9730" max="9730" width="11.42578125" style="117" customWidth="1"/>
    <col min="9731" max="9731" width="9.7109375" style="117" customWidth="1"/>
    <col min="9732" max="9732" width="11.7109375" style="117" customWidth="1"/>
    <col min="9733" max="9733" width="11" style="117" customWidth="1"/>
    <col min="9734" max="9734" width="11.28515625" style="117" customWidth="1"/>
    <col min="9735" max="9735" width="9.140625" style="117"/>
    <col min="9736" max="9736" width="9.85546875" style="117" customWidth="1"/>
    <col min="9737" max="9738" width="8.85546875" style="117" customWidth="1"/>
    <col min="9739" max="9739" width="9.85546875" style="117" customWidth="1"/>
    <col min="9740" max="9740" width="10.28515625" style="117" customWidth="1"/>
    <col min="9741" max="9741" width="7.5703125" style="117" customWidth="1"/>
    <col min="9742" max="9742" width="8.7109375" style="117" customWidth="1"/>
    <col min="9743" max="9985" width="9.140625" style="117"/>
    <col min="9986" max="9986" width="11.42578125" style="117" customWidth="1"/>
    <col min="9987" max="9987" width="9.7109375" style="117" customWidth="1"/>
    <col min="9988" max="9988" width="11.7109375" style="117" customWidth="1"/>
    <col min="9989" max="9989" width="11" style="117" customWidth="1"/>
    <col min="9990" max="9990" width="11.28515625" style="117" customWidth="1"/>
    <col min="9991" max="9991" width="9.140625" style="117"/>
    <col min="9992" max="9992" width="9.85546875" style="117" customWidth="1"/>
    <col min="9993" max="9994" width="8.85546875" style="117" customWidth="1"/>
    <col min="9995" max="9995" width="9.85546875" style="117" customWidth="1"/>
    <col min="9996" max="9996" width="10.28515625" style="117" customWidth="1"/>
    <col min="9997" max="9997" width="7.5703125" style="117" customWidth="1"/>
    <col min="9998" max="9998" width="8.7109375" style="117" customWidth="1"/>
    <col min="9999" max="10241" width="9.140625" style="117"/>
    <col min="10242" max="10242" width="11.42578125" style="117" customWidth="1"/>
    <col min="10243" max="10243" width="9.7109375" style="117" customWidth="1"/>
    <col min="10244" max="10244" width="11.7109375" style="117" customWidth="1"/>
    <col min="10245" max="10245" width="11" style="117" customWidth="1"/>
    <col min="10246" max="10246" width="11.28515625" style="117" customWidth="1"/>
    <col min="10247" max="10247" width="9.140625" style="117"/>
    <col min="10248" max="10248" width="9.85546875" style="117" customWidth="1"/>
    <col min="10249" max="10250" width="8.85546875" style="117" customWidth="1"/>
    <col min="10251" max="10251" width="9.85546875" style="117" customWidth="1"/>
    <col min="10252" max="10252" width="10.28515625" style="117" customWidth="1"/>
    <col min="10253" max="10253" width="7.5703125" style="117" customWidth="1"/>
    <col min="10254" max="10254" width="8.7109375" style="117" customWidth="1"/>
    <col min="10255" max="10497" width="9.140625" style="117"/>
    <col min="10498" max="10498" width="11.42578125" style="117" customWidth="1"/>
    <col min="10499" max="10499" width="9.7109375" style="117" customWidth="1"/>
    <col min="10500" max="10500" width="11.7109375" style="117" customWidth="1"/>
    <col min="10501" max="10501" width="11" style="117" customWidth="1"/>
    <col min="10502" max="10502" width="11.28515625" style="117" customWidth="1"/>
    <col min="10503" max="10503" width="9.140625" style="117"/>
    <col min="10504" max="10504" width="9.85546875" style="117" customWidth="1"/>
    <col min="10505" max="10506" width="8.85546875" style="117" customWidth="1"/>
    <col min="10507" max="10507" width="9.85546875" style="117" customWidth="1"/>
    <col min="10508" max="10508" width="10.28515625" style="117" customWidth="1"/>
    <col min="10509" max="10509" width="7.5703125" style="117" customWidth="1"/>
    <col min="10510" max="10510" width="8.7109375" style="117" customWidth="1"/>
    <col min="10511" max="10753" width="9.140625" style="117"/>
    <col min="10754" max="10754" width="11.42578125" style="117" customWidth="1"/>
    <col min="10755" max="10755" width="9.7109375" style="117" customWidth="1"/>
    <col min="10756" max="10756" width="11.7109375" style="117" customWidth="1"/>
    <col min="10757" max="10757" width="11" style="117" customWidth="1"/>
    <col min="10758" max="10758" width="11.28515625" style="117" customWidth="1"/>
    <col min="10759" max="10759" width="9.140625" style="117"/>
    <col min="10760" max="10760" width="9.85546875" style="117" customWidth="1"/>
    <col min="10761" max="10762" width="8.85546875" style="117" customWidth="1"/>
    <col min="10763" max="10763" width="9.85546875" style="117" customWidth="1"/>
    <col min="10764" max="10764" width="10.28515625" style="117" customWidth="1"/>
    <col min="10765" max="10765" width="7.5703125" style="117" customWidth="1"/>
    <col min="10766" max="10766" width="8.7109375" style="117" customWidth="1"/>
    <col min="10767" max="11009" width="9.140625" style="117"/>
    <col min="11010" max="11010" width="11.42578125" style="117" customWidth="1"/>
    <col min="11011" max="11011" width="9.7109375" style="117" customWidth="1"/>
    <col min="11012" max="11012" width="11.7109375" style="117" customWidth="1"/>
    <col min="11013" max="11013" width="11" style="117" customWidth="1"/>
    <col min="11014" max="11014" width="11.28515625" style="117" customWidth="1"/>
    <col min="11015" max="11015" width="9.140625" style="117"/>
    <col min="11016" max="11016" width="9.85546875" style="117" customWidth="1"/>
    <col min="11017" max="11018" width="8.85546875" style="117" customWidth="1"/>
    <col min="11019" max="11019" width="9.85546875" style="117" customWidth="1"/>
    <col min="11020" max="11020" width="10.28515625" style="117" customWidth="1"/>
    <col min="11021" max="11021" width="7.5703125" style="117" customWidth="1"/>
    <col min="11022" max="11022" width="8.7109375" style="117" customWidth="1"/>
    <col min="11023" max="11265" width="9.140625" style="117"/>
    <col min="11266" max="11266" width="11.42578125" style="117" customWidth="1"/>
    <col min="11267" max="11267" width="9.7109375" style="117" customWidth="1"/>
    <col min="11268" max="11268" width="11.7109375" style="117" customWidth="1"/>
    <col min="11269" max="11269" width="11" style="117" customWidth="1"/>
    <col min="11270" max="11270" width="11.28515625" style="117" customWidth="1"/>
    <col min="11271" max="11271" width="9.140625" style="117"/>
    <col min="11272" max="11272" width="9.85546875" style="117" customWidth="1"/>
    <col min="11273" max="11274" width="8.85546875" style="117" customWidth="1"/>
    <col min="11275" max="11275" width="9.85546875" style="117" customWidth="1"/>
    <col min="11276" max="11276" width="10.28515625" style="117" customWidth="1"/>
    <col min="11277" max="11277" width="7.5703125" style="117" customWidth="1"/>
    <col min="11278" max="11278" width="8.7109375" style="117" customWidth="1"/>
    <col min="11279" max="11521" width="9.140625" style="117"/>
    <col min="11522" max="11522" width="11.42578125" style="117" customWidth="1"/>
    <col min="11523" max="11523" width="9.7109375" style="117" customWidth="1"/>
    <col min="11524" max="11524" width="11.7109375" style="117" customWidth="1"/>
    <col min="11525" max="11525" width="11" style="117" customWidth="1"/>
    <col min="11526" max="11526" width="11.28515625" style="117" customWidth="1"/>
    <col min="11527" max="11527" width="9.140625" style="117"/>
    <col min="11528" max="11528" width="9.85546875" style="117" customWidth="1"/>
    <col min="11529" max="11530" width="8.85546875" style="117" customWidth="1"/>
    <col min="11531" max="11531" width="9.85546875" style="117" customWidth="1"/>
    <col min="11532" max="11532" width="10.28515625" style="117" customWidth="1"/>
    <col min="11533" max="11533" width="7.5703125" style="117" customWidth="1"/>
    <col min="11534" max="11534" width="8.7109375" style="117" customWidth="1"/>
    <col min="11535" max="11777" width="9.140625" style="117"/>
    <col min="11778" max="11778" width="11.42578125" style="117" customWidth="1"/>
    <col min="11779" max="11779" width="9.7109375" style="117" customWidth="1"/>
    <col min="11780" max="11780" width="11.7109375" style="117" customWidth="1"/>
    <col min="11781" max="11781" width="11" style="117" customWidth="1"/>
    <col min="11782" max="11782" width="11.28515625" style="117" customWidth="1"/>
    <col min="11783" max="11783" width="9.140625" style="117"/>
    <col min="11784" max="11784" width="9.85546875" style="117" customWidth="1"/>
    <col min="11785" max="11786" width="8.85546875" style="117" customWidth="1"/>
    <col min="11787" max="11787" width="9.85546875" style="117" customWidth="1"/>
    <col min="11788" max="11788" width="10.28515625" style="117" customWidth="1"/>
    <col min="11789" max="11789" width="7.5703125" style="117" customWidth="1"/>
    <col min="11790" max="11790" width="8.7109375" style="117" customWidth="1"/>
    <col min="11791" max="12033" width="9.140625" style="117"/>
    <col min="12034" max="12034" width="11.42578125" style="117" customWidth="1"/>
    <col min="12035" max="12035" width="9.7109375" style="117" customWidth="1"/>
    <col min="12036" max="12036" width="11.7109375" style="117" customWidth="1"/>
    <col min="12037" max="12037" width="11" style="117" customWidth="1"/>
    <col min="12038" max="12038" width="11.28515625" style="117" customWidth="1"/>
    <col min="12039" max="12039" width="9.140625" style="117"/>
    <col min="12040" max="12040" width="9.85546875" style="117" customWidth="1"/>
    <col min="12041" max="12042" width="8.85546875" style="117" customWidth="1"/>
    <col min="12043" max="12043" width="9.85546875" style="117" customWidth="1"/>
    <col min="12044" max="12044" width="10.28515625" style="117" customWidth="1"/>
    <col min="12045" max="12045" width="7.5703125" style="117" customWidth="1"/>
    <col min="12046" max="12046" width="8.7109375" style="117" customWidth="1"/>
    <col min="12047" max="12289" width="9.140625" style="117"/>
    <col min="12290" max="12290" width="11.42578125" style="117" customWidth="1"/>
    <col min="12291" max="12291" width="9.7109375" style="117" customWidth="1"/>
    <col min="12292" max="12292" width="11.7109375" style="117" customWidth="1"/>
    <col min="12293" max="12293" width="11" style="117" customWidth="1"/>
    <col min="12294" max="12294" width="11.28515625" style="117" customWidth="1"/>
    <col min="12295" max="12295" width="9.140625" style="117"/>
    <col min="12296" max="12296" width="9.85546875" style="117" customWidth="1"/>
    <col min="12297" max="12298" width="8.85546875" style="117" customWidth="1"/>
    <col min="12299" max="12299" width="9.85546875" style="117" customWidth="1"/>
    <col min="12300" max="12300" width="10.28515625" style="117" customWidth="1"/>
    <col min="12301" max="12301" width="7.5703125" style="117" customWidth="1"/>
    <col min="12302" max="12302" width="8.7109375" style="117" customWidth="1"/>
    <col min="12303" max="12545" width="9.140625" style="117"/>
    <col min="12546" max="12546" width="11.42578125" style="117" customWidth="1"/>
    <col min="12547" max="12547" width="9.7109375" style="117" customWidth="1"/>
    <col min="12548" max="12548" width="11.7109375" style="117" customWidth="1"/>
    <col min="12549" max="12549" width="11" style="117" customWidth="1"/>
    <col min="12550" max="12550" width="11.28515625" style="117" customWidth="1"/>
    <col min="12551" max="12551" width="9.140625" style="117"/>
    <col min="12552" max="12552" width="9.85546875" style="117" customWidth="1"/>
    <col min="12553" max="12554" width="8.85546875" style="117" customWidth="1"/>
    <col min="12555" max="12555" width="9.85546875" style="117" customWidth="1"/>
    <col min="12556" max="12556" width="10.28515625" style="117" customWidth="1"/>
    <col min="12557" max="12557" width="7.5703125" style="117" customWidth="1"/>
    <col min="12558" max="12558" width="8.7109375" style="117" customWidth="1"/>
    <col min="12559" max="12801" width="9.140625" style="117"/>
    <col min="12802" max="12802" width="11.42578125" style="117" customWidth="1"/>
    <col min="12803" max="12803" width="9.7109375" style="117" customWidth="1"/>
    <col min="12804" max="12804" width="11.7109375" style="117" customWidth="1"/>
    <col min="12805" max="12805" width="11" style="117" customWidth="1"/>
    <col min="12806" max="12806" width="11.28515625" style="117" customWidth="1"/>
    <col min="12807" max="12807" width="9.140625" style="117"/>
    <col min="12808" max="12808" width="9.85546875" style="117" customWidth="1"/>
    <col min="12809" max="12810" width="8.85546875" style="117" customWidth="1"/>
    <col min="12811" max="12811" width="9.85546875" style="117" customWidth="1"/>
    <col min="12812" max="12812" width="10.28515625" style="117" customWidth="1"/>
    <col min="12813" max="12813" width="7.5703125" style="117" customWidth="1"/>
    <col min="12814" max="12814" width="8.7109375" style="117" customWidth="1"/>
    <col min="12815" max="13057" width="9.140625" style="117"/>
    <col min="13058" max="13058" width="11.42578125" style="117" customWidth="1"/>
    <col min="13059" max="13059" width="9.7109375" style="117" customWidth="1"/>
    <col min="13060" max="13060" width="11.7109375" style="117" customWidth="1"/>
    <col min="13061" max="13061" width="11" style="117" customWidth="1"/>
    <col min="13062" max="13062" width="11.28515625" style="117" customWidth="1"/>
    <col min="13063" max="13063" width="9.140625" style="117"/>
    <col min="13064" max="13064" width="9.85546875" style="117" customWidth="1"/>
    <col min="13065" max="13066" width="8.85546875" style="117" customWidth="1"/>
    <col min="13067" max="13067" width="9.85546875" style="117" customWidth="1"/>
    <col min="13068" max="13068" width="10.28515625" style="117" customWidth="1"/>
    <col min="13069" max="13069" width="7.5703125" style="117" customWidth="1"/>
    <col min="13070" max="13070" width="8.7109375" style="117" customWidth="1"/>
    <col min="13071" max="13313" width="9.140625" style="117"/>
    <col min="13314" max="13314" width="11.42578125" style="117" customWidth="1"/>
    <col min="13315" max="13315" width="9.7109375" style="117" customWidth="1"/>
    <col min="13316" max="13316" width="11.7109375" style="117" customWidth="1"/>
    <col min="13317" max="13317" width="11" style="117" customWidth="1"/>
    <col min="13318" max="13318" width="11.28515625" style="117" customWidth="1"/>
    <col min="13319" max="13319" width="9.140625" style="117"/>
    <col min="13320" max="13320" width="9.85546875" style="117" customWidth="1"/>
    <col min="13321" max="13322" width="8.85546875" style="117" customWidth="1"/>
    <col min="13323" max="13323" width="9.85546875" style="117" customWidth="1"/>
    <col min="13324" max="13324" width="10.28515625" style="117" customWidth="1"/>
    <col min="13325" max="13325" width="7.5703125" style="117" customWidth="1"/>
    <col min="13326" max="13326" width="8.7109375" style="117" customWidth="1"/>
    <col min="13327" max="13569" width="9.140625" style="117"/>
    <col min="13570" max="13570" width="11.42578125" style="117" customWidth="1"/>
    <col min="13571" max="13571" width="9.7109375" style="117" customWidth="1"/>
    <col min="13572" max="13572" width="11.7109375" style="117" customWidth="1"/>
    <col min="13573" max="13573" width="11" style="117" customWidth="1"/>
    <col min="13574" max="13574" width="11.28515625" style="117" customWidth="1"/>
    <col min="13575" max="13575" width="9.140625" style="117"/>
    <col min="13576" max="13576" width="9.85546875" style="117" customWidth="1"/>
    <col min="13577" max="13578" width="8.85546875" style="117" customWidth="1"/>
    <col min="13579" max="13579" width="9.85546875" style="117" customWidth="1"/>
    <col min="13580" max="13580" width="10.28515625" style="117" customWidth="1"/>
    <col min="13581" max="13581" width="7.5703125" style="117" customWidth="1"/>
    <col min="13582" max="13582" width="8.7109375" style="117" customWidth="1"/>
    <col min="13583" max="13825" width="9.140625" style="117"/>
    <col min="13826" max="13826" width="11.42578125" style="117" customWidth="1"/>
    <col min="13827" max="13827" width="9.7109375" style="117" customWidth="1"/>
    <col min="13828" max="13828" width="11.7109375" style="117" customWidth="1"/>
    <col min="13829" max="13829" width="11" style="117" customWidth="1"/>
    <col min="13830" max="13830" width="11.28515625" style="117" customWidth="1"/>
    <col min="13831" max="13831" width="9.140625" style="117"/>
    <col min="13832" max="13832" width="9.85546875" style="117" customWidth="1"/>
    <col min="13833" max="13834" width="8.85546875" style="117" customWidth="1"/>
    <col min="13835" max="13835" width="9.85546875" style="117" customWidth="1"/>
    <col min="13836" max="13836" width="10.28515625" style="117" customWidth="1"/>
    <col min="13837" max="13837" width="7.5703125" style="117" customWidth="1"/>
    <col min="13838" max="13838" width="8.7109375" style="117" customWidth="1"/>
    <col min="13839" max="14081" width="9.140625" style="117"/>
    <col min="14082" max="14082" width="11.42578125" style="117" customWidth="1"/>
    <col min="14083" max="14083" width="9.7109375" style="117" customWidth="1"/>
    <col min="14084" max="14084" width="11.7109375" style="117" customWidth="1"/>
    <col min="14085" max="14085" width="11" style="117" customWidth="1"/>
    <col min="14086" max="14086" width="11.28515625" style="117" customWidth="1"/>
    <col min="14087" max="14087" width="9.140625" style="117"/>
    <col min="14088" max="14088" width="9.85546875" style="117" customWidth="1"/>
    <col min="14089" max="14090" width="8.85546875" style="117" customWidth="1"/>
    <col min="14091" max="14091" width="9.85546875" style="117" customWidth="1"/>
    <col min="14092" max="14092" width="10.28515625" style="117" customWidth="1"/>
    <col min="14093" max="14093" width="7.5703125" style="117" customWidth="1"/>
    <col min="14094" max="14094" width="8.7109375" style="117" customWidth="1"/>
    <col min="14095" max="14337" width="9.140625" style="117"/>
    <col min="14338" max="14338" width="11.42578125" style="117" customWidth="1"/>
    <col min="14339" max="14339" width="9.7109375" style="117" customWidth="1"/>
    <col min="14340" max="14340" width="11.7109375" style="117" customWidth="1"/>
    <col min="14341" max="14341" width="11" style="117" customWidth="1"/>
    <col min="14342" max="14342" width="11.28515625" style="117" customWidth="1"/>
    <col min="14343" max="14343" width="9.140625" style="117"/>
    <col min="14344" max="14344" width="9.85546875" style="117" customWidth="1"/>
    <col min="14345" max="14346" width="8.85546875" style="117" customWidth="1"/>
    <col min="14347" max="14347" width="9.85546875" style="117" customWidth="1"/>
    <col min="14348" max="14348" width="10.28515625" style="117" customWidth="1"/>
    <col min="14349" max="14349" width="7.5703125" style="117" customWidth="1"/>
    <col min="14350" max="14350" width="8.7109375" style="117" customWidth="1"/>
    <col min="14351" max="14593" width="9.140625" style="117"/>
    <col min="14594" max="14594" width="11.42578125" style="117" customWidth="1"/>
    <col min="14595" max="14595" width="9.7109375" style="117" customWidth="1"/>
    <col min="14596" max="14596" width="11.7109375" style="117" customWidth="1"/>
    <col min="14597" max="14597" width="11" style="117" customWidth="1"/>
    <col min="14598" max="14598" width="11.28515625" style="117" customWidth="1"/>
    <col min="14599" max="14599" width="9.140625" style="117"/>
    <col min="14600" max="14600" width="9.85546875" style="117" customWidth="1"/>
    <col min="14601" max="14602" width="8.85546875" style="117" customWidth="1"/>
    <col min="14603" max="14603" width="9.85546875" style="117" customWidth="1"/>
    <col min="14604" max="14604" width="10.28515625" style="117" customWidth="1"/>
    <col min="14605" max="14605" width="7.5703125" style="117" customWidth="1"/>
    <col min="14606" max="14606" width="8.7109375" style="117" customWidth="1"/>
    <col min="14607" max="14849" width="9.140625" style="117"/>
    <col min="14850" max="14850" width="11.42578125" style="117" customWidth="1"/>
    <col min="14851" max="14851" width="9.7109375" style="117" customWidth="1"/>
    <col min="14852" max="14852" width="11.7109375" style="117" customWidth="1"/>
    <col min="14853" max="14853" width="11" style="117" customWidth="1"/>
    <col min="14854" max="14854" width="11.28515625" style="117" customWidth="1"/>
    <col min="14855" max="14855" width="9.140625" style="117"/>
    <col min="14856" max="14856" width="9.85546875" style="117" customWidth="1"/>
    <col min="14857" max="14858" width="8.85546875" style="117" customWidth="1"/>
    <col min="14859" max="14859" width="9.85546875" style="117" customWidth="1"/>
    <col min="14860" max="14860" width="10.28515625" style="117" customWidth="1"/>
    <col min="14861" max="14861" width="7.5703125" style="117" customWidth="1"/>
    <col min="14862" max="14862" width="8.7109375" style="117" customWidth="1"/>
    <col min="14863" max="15105" width="9.140625" style="117"/>
    <col min="15106" max="15106" width="11.42578125" style="117" customWidth="1"/>
    <col min="15107" max="15107" width="9.7109375" style="117" customWidth="1"/>
    <col min="15108" max="15108" width="11.7109375" style="117" customWidth="1"/>
    <col min="15109" max="15109" width="11" style="117" customWidth="1"/>
    <col min="15110" max="15110" width="11.28515625" style="117" customWidth="1"/>
    <col min="15111" max="15111" width="9.140625" style="117"/>
    <col min="15112" max="15112" width="9.85546875" style="117" customWidth="1"/>
    <col min="15113" max="15114" width="8.85546875" style="117" customWidth="1"/>
    <col min="15115" max="15115" width="9.85546875" style="117" customWidth="1"/>
    <col min="15116" max="15116" width="10.28515625" style="117" customWidth="1"/>
    <col min="15117" max="15117" width="7.5703125" style="117" customWidth="1"/>
    <col min="15118" max="15118" width="8.7109375" style="117" customWidth="1"/>
    <col min="15119" max="15361" width="9.140625" style="117"/>
    <col min="15362" max="15362" width="11.42578125" style="117" customWidth="1"/>
    <col min="15363" max="15363" width="9.7109375" style="117" customWidth="1"/>
    <col min="15364" max="15364" width="11.7109375" style="117" customWidth="1"/>
    <col min="15365" max="15365" width="11" style="117" customWidth="1"/>
    <col min="15366" max="15366" width="11.28515625" style="117" customWidth="1"/>
    <col min="15367" max="15367" width="9.140625" style="117"/>
    <col min="15368" max="15368" width="9.85546875" style="117" customWidth="1"/>
    <col min="15369" max="15370" width="8.85546875" style="117" customWidth="1"/>
    <col min="15371" max="15371" width="9.85546875" style="117" customWidth="1"/>
    <col min="15372" max="15372" width="10.28515625" style="117" customWidth="1"/>
    <col min="15373" max="15373" width="7.5703125" style="117" customWidth="1"/>
    <col min="15374" max="15374" width="8.7109375" style="117" customWidth="1"/>
    <col min="15375" max="15617" width="9.140625" style="117"/>
    <col min="15618" max="15618" width="11.42578125" style="117" customWidth="1"/>
    <col min="15619" max="15619" width="9.7109375" style="117" customWidth="1"/>
    <col min="15620" max="15620" width="11.7109375" style="117" customWidth="1"/>
    <col min="15621" max="15621" width="11" style="117" customWidth="1"/>
    <col min="15622" max="15622" width="11.28515625" style="117" customWidth="1"/>
    <col min="15623" max="15623" width="9.140625" style="117"/>
    <col min="15624" max="15624" width="9.85546875" style="117" customWidth="1"/>
    <col min="15625" max="15626" width="8.85546875" style="117" customWidth="1"/>
    <col min="15627" max="15627" width="9.85546875" style="117" customWidth="1"/>
    <col min="15628" max="15628" width="10.28515625" style="117" customWidth="1"/>
    <col min="15629" max="15629" width="7.5703125" style="117" customWidth="1"/>
    <col min="15630" max="15630" width="8.7109375" style="117" customWidth="1"/>
    <col min="15631" max="15873" width="9.140625" style="117"/>
    <col min="15874" max="15874" width="11.42578125" style="117" customWidth="1"/>
    <col min="15875" max="15875" width="9.7109375" style="117" customWidth="1"/>
    <col min="15876" max="15876" width="11.7109375" style="117" customWidth="1"/>
    <col min="15877" max="15877" width="11" style="117" customWidth="1"/>
    <col min="15878" max="15878" width="11.28515625" style="117" customWidth="1"/>
    <col min="15879" max="15879" width="9.140625" style="117"/>
    <col min="15880" max="15880" width="9.85546875" style="117" customWidth="1"/>
    <col min="15881" max="15882" width="8.85546875" style="117" customWidth="1"/>
    <col min="15883" max="15883" width="9.85546875" style="117" customWidth="1"/>
    <col min="15884" max="15884" width="10.28515625" style="117" customWidth="1"/>
    <col min="15885" max="15885" width="7.5703125" style="117" customWidth="1"/>
    <col min="15886" max="15886" width="8.7109375" style="117" customWidth="1"/>
    <col min="15887" max="16129" width="9.140625" style="117"/>
    <col min="16130" max="16130" width="11.42578125" style="117" customWidth="1"/>
    <col min="16131" max="16131" width="9.7109375" style="117" customWidth="1"/>
    <col min="16132" max="16132" width="11.7109375" style="117" customWidth="1"/>
    <col min="16133" max="16133" width="11" style="117" customWidth="1"/>
    <col min="16134" max="16134" width="11.28515625" style="117" customWidth="1"/>
    <col min="16135" max="16135" width="9.140625" style="117"/>
    <col min="16136" max="16136" width="9.85546875" style="117" customWidth="1"/>
    <col min="16137" max="16138" width="8.85546875" style="117" customWidth="1"/>
    <col min="16139" max="16139" width="9.85546875" style="117" customWidth="1"/>
    <col min="16140" max="16140" width="10.28515625" style="117" customWidth="1"/>
    <col min="16141" max="16141" width="7.5703125" style="117" customWidth="1"/>
    <col min="16142" max="16142" width="8.7109375" style="117" customWidth="1"/>
    <col min="16143" max="16384" width="9.140625" style="117"/>
  </cols>
  <sheetData>
    <row r="1" spans="2:15" ht="26.25" customHeight="1" thickBot="1" x14ac:dyDescent="0.25">
      <c r="B1" s="130"/>
      <c r="C1" s="124"/>
      <c r="D1" s="125"/>
      <c r="E1" s="125"/>
      <c r="F1" s="125"/>
      <c r="G1" s="125"/>
      <c r="H1" s="124"/>
      <c r="I1" s="125"/>
      <c r="J1" s="130"/>
      <c r="K1" s="125"/>
    </row>
    <row r="2" spans="2:15" ht="17.25" customHeight="1" x14ac:dyDescent="0.2">
      <c r="B2" s="130"/>
      <c r="C2" s="131" t="s">
        <v>131</v>
      </c>
      <c r="D2" s="345">
        <v>3.7776999999999998</v>
      </c>
      <c r="E2" s="125"/>
      <c r="F2" s="172"/>
      <c r="G2" s="173"/>
      <c r="H2" s="386" t="s">
        <v>130</v>
      </c>
      <c r="I2" s="387"/>
      <c r="J2" s="174"/>
      <c r="K2" s="125"/>
      <c r="L2" s="325" t="str">
        <f>+IF(modeRF1,"RF1 shift after calibration=","")</f>
        <v>RF1 shift after calibration=</v>
      </c>
      <c r="M2" s="335">
        <f>+IF(modeRF1,new_RF_shift1,"")</f>
        <v>0</v>
      </c>
      <c r="N2" s="326" t="str">
        <f>+IF(modeRF1,"ch","")</f>
        <v>ch</v>
      </c>
    </row>
    <row r="3" spans="2:15" ht="17.25" customHeight="1" x14ac:dyDescent="0.2">
      <c r="B3" s="126"/>
      <c r="C3" s="132" t="s">
        <v>129</v>
      </c>
      <c r="D3" s="333">
        <v>3.65</v>
      </c>
      <c r="E3" s="125"/>
      <c r="F3" s="175"/>
      <c r="G3" s="176"/>
      <c r="H3" s="177" t="s">
        <v>128</v>
      </c>
      <c r="I3" s="178" t="s">
        <v>127</v>
      </c>
      <c r="J3" s="179" t="s">
        <v>126</v>
      </c>
      <c r="K3" s="125"/>
      <c r="L3" s="327" t="str">
        <f>+IF(modeRF2,"RF2 shift after calibration=","")</f>
        <v/>
      </c>
      <c r="M3" s="336" t="str">
        <f>+IF(modeRF2,new_RF_shift2,"")</f>
        <v/>
      </c>
      <c r="N3" s="328" t="str">
        <f>+IF(modeRF2,"ch","")</f>
        <v/>
      </c>
    </row>
    <row r="4" spans="2:15" ht="17.25" customHeight="1" x14ac:dyDescent="0.2">
      <c r="B4" s="126"/>
      <c r="C4" s="125"/>
      <c r="D4" s="124"/>
      <c r="E4" s="125"/>
      <c r="F4" s="180" t="s">
        <v>125</v>
      </c>
      <c r="G4" s="181" t="s">
        <v>124</v>
      </c>
      <c r="H4" s="182">
        <f>+[1]!Brho2Energy(Brho1,Mq,Q1_)</f>
        <v>110.44815591059248</v>
      </c>
      <c r="I4" s="183">
        <f>+[1]!Brho2Energy(Brho2,Mq,Q2_)</f>
        <v>103.47299274330648</v>
      </c>
      <c r="J4" s="184">
        <f>+I4</f>
        <v>103.47299274330648</v>
      </c>
      <c r="K4" s="125"/>
    </row>
    <row r="5" spans="2:15" s="120" customFormat="1" ht="17.25" customHeight="1" x14ac:dyDescent="0.2">
      <c r="B5" s="185"/>
      <c r="C5" s="388" t="str">
        <f>+D6&amp;[1]!Show_Element(Z)&amp;" "&amp;D8&amp;"+"&amp;D9&amp;"+"</f>
        <v>51Sc 21+21+</v>
      </c>
      <c r="D5" s="389"/>
      <c r="E5" s="185"/>
      <c r="F5" s="180" t="s">
        <v>42</v>
      </c>
      <c r="G5" s="181"/>
      <c r="H5" s="186">
        <f>[1]!Energy2Beta(H4)</f>
        <v>0.44807132703405844</v>
      </c>
      <c r="I5" s="187">
        <f>[1]!Energy2Beta(I4)</f>
        <v>0.43584258489044242</v>
      </c>
      <c r="J5" s="188">
        <f>+I5</f>
        <v>0.43584258489044242</v>
      </c>
      <c r="K5" s="185"/>
    </row>
    <row r="6" spans="2:15" ht="17.25" customHeight="1" x14ac:dyDescent="0.2">
      <c r="B6" s="130"/>
      <c r="C6" s="189" t="s">
        <v>49</v>
      </c>
      <c r="D6" s="190">
        <v>51</v>
      </c>
      <c r="E6" s="125"/>
      <c r="F6" s="180" t="s">
        <v>41</v>
      </c>
      <c r="G6" s="181"/>
      <c r="H6" s="191">
        <f>+[1]!Beta2Gamma(H5)</f>
        <v>1.1185709716624725</v>
      </c>
      <c r="I6" s="192">
        <f>+[1]!Beta2Gamma(I5)</f>
        <v>1.111082826048535</v>
      </c>
      <c r="J6" s="193">
        <f>+I6</f>
        <v>1.111082826048535</v>
      </c>
      <c r="K6" s="125"/>
    </row>
    <row r="7" spans="2:15" ht="17.25" customHeight="1" x14ac:dyDescent="0.2">
      <c r="B7" s="130"/>
      <c r="C7" s="189" t="s">
        <v>7</v>
      </c>
      <c r="D7" s="190">
        <v>21</v>
      </c>
      <c r="E7" s="125"/>
      <c r="F7" s="180" t="s">
        <v>123</v>
      </c>
      <c r="G7" s="181" t="s">
        <v>54</v>
      </c>
      <c r="H7" s="182">
        <f>+length1/H5/c_speed</f>
        <v>130.17935459386075</v>
      </c>
      <c r="I7" s="183">
        <f>+length2/I5/c_speed</f>
        <v>137.71994734191489</v>
      </c>
      <c r="J7" s="184">
        <f>+I7+H7</f>
        <v>267.89930193577561</v>
      </c>
      <c r="K7" s="125"/>
    </row>
    <row r="8" spans="2:15" ht="17.25" customHeight="1" x14ac:dyDescent="0.2">
      <c r="B8" s="130"/>
      <c r="C8" s="189" t="s">
        <v>122</v>
      </c>
      <c r="D8" s="194">
        <f>+D7</f>
        <v>21</v>
      </c>
      <c r="E8" s="125"/>
      <c r="F8" s="180" t="s">
        <v>121</v>
      </c>
      <c r="G8" s="181" t="s">
        <v>53</v>
      </c>
      <c r="H8" s="195">
        <f>+H4*Mq</f>
        <v>5626.4591059676122</v>
      </c>
      <c r="I8" s="196">
        <f>+I4*Mq</f>
        <v>5271.1297662006782</v>
      </c>
      <c r="J8" s="197">
        <f>+I8</f>
        <v>5271.1297662006782</v>
      </c>
      <c r="K8" s="125"/>
    </row>
    <row r="9" spans="2:15" ht="17.25" customHeight="1" thickBot="1" x14ac:dyDescent="0.25">
      <c r="B9" s="130"/>
      <c r="C9" s="198" t="s">
        <v>120</v>
      </c>
      <c r="D9" s="199">
        <f>+Q1_</f>
        <v>21</v>
      </c>
      <c r="E9" s="125"/>
      <c r="F9" s="200" t="s">
        <v>119</v>
      </c>
      <c r="G9" s="201" t="s">
        <v>118</v>
      </c>
      <c r="H9" s="202"/>
      <c r="I9" s="203"/>
      <c r="J9" s="204">
        <f>+Z/SQRT(C19/J10)</f>
        <v>7.2154397974891991</v>
      </c>
      <c r="K9" s="125"/>
    </row>
    <row r="10" spans="2:15" ht="14.25" hidden="1" customHeight="1" x14ac:dyDescent="0.2">
      <c r="B10" s="124"/>
      <c r="C10" s="124"/>
      <c r="D10" s="125"/>
      <c r="E10" s="125"/>
      <c r="F10" s="124" t="s">
        <v>117</v>
      </c>
      <c r="G10" s="124" t="s">
        <v>53</v>
      </c>
      <c r="H10" s="124"/>
      <c r="I10" s="125"/>
      <c r="J10" s="205">
        <f>-1+LN(5930/(1/J5/J5-1))/J5/J5</f>
        <v>37.100382239843569</v>
      </c>
      <c r="K10" s="125"/>
      <c r="L10" s="117">
        <f>+[1]!EnergyLossInMatter(Z,A,J4,Z_Material_pin,PIN_thick_mg)</f>
        <v>97.311000000000007</v>
      </c>
    </row>
    <row r="11" spans="2:15" s="121" customFormat="1" ht="14.25" customHeight="1" x14ac:dyDescent="0.2">
      <c r="B11" s="206"/>
      <c r="C11" s="198" t="s">
        <v>116</v>
      </c>
      <c r="D11" s="207">
        <f>[1]!MassIon(Z,A,Q1_)</f>
        <v>50.942082822299156</v>
      </c>
      <c r="E11" s="126"/>
      <c r="F11" s="126"/>
      <c r="G11" s="126"/>
      <c r="H11" s="126"/>
      <c r="I11" s="126"/>
      <c r="J11" s="126"/>
      <c r="K11" s="126"/>
    </row>
    <row r="12" spans="2:15" x14ac:dyDescent="0.2">
      <c r="B12" s="124"/>
      <c r="C12" s="124"/>
      <c r="D12" s="124"/>
      <c r="E12" s="125"/>
      <c r="F12" s="125"/>
      <c r="G12" s="125"/>
      <c r="H12" s="124"/>
      <c r="I12" s="125"/>
      <c r="J12" s="130"/>
      <c r="K12" s="125"/>
    </row>
    <row r="13" spans="2:15" ht="15.75" customHeight="1" x14ac:dyDescent="0.2">
      <c r="B13" s="125"/>
      <c r="C13" s="125"/>
      <c r="D13" s="125"/>
      <c r="E13" s="390" t="s">
        <v>115</v>
      </c>
      <c r="F13" s="391"/>
      <c r="G13" s="391"/>
      <c r="H13" s="392"/>
      <c r="I13" s="393" t="s">
        <v>114</v>
      </c>
      <c r="J13" s="394"/>
      <c r="K13" s="395"/>
    </row>
    <row r="14" spans="2:15" ht="15.75" customHeight="1" x14ac:dyDescent="0.2">
      <c r="B14" s="185"/>
      <c r="C14" s="396" t="s">
        <v>113</v>
      </c>
      <c r="D14" s="397"/>
      <c r="E14" s="208" t="s">
        <v>108</v>
      </c>
      <c r="F14" s="209" t="s">
        <v>112</v>
      </c>
      <c r="G14" s="210" t="s">
        <v>111</v>
      </c>
      <c r="H14" s="208" t="s">
        <v>109</v>
      </c>
      <c r="I14" s="211" t="s">
        <v>110</v>
      </c>
      <c r="J14" s="142" t="s">
        <v>109</v>
      </c>
      <c r="K14" s="212" t="s">
        <v>108</v>
      </c>
      <c r="O14" s="242"/>
    </row>
    <row r="15" spans="2:15" ht="15.75" customHeight="1" x14ac:dyDescent="0.2">
      <c r="B15" s="213" t="s">
        <v>161</v>
      </c>
      <c r="C15" s="149">
        <f>+IF(modeRF1,J7,"")</f>
        <v>267.89930193577561</v>
      </c>
      <c r="D15" s="161" t="s">
        <v>54</v>
      </c>
      <c r="E15" s="148">
        <f>+IF(ISNUMBER(C15),(C15-b_tof)/a_tof,"")</f>
        <v>29.309812471444726</v>
      </c>
      <c r="F15" s="146">
        <v>0</v>
      </c>
      <c r="G15" s="144">
        <v>4095</v>
      </c>
      <c r="H15" s="214">
        <f t="shared" ref="H15:H20" si="0">+G15-F15+1</f>
        <v>4096</v>
      </c>
      <c r="I15" s="146">
        <v>12</v>
      </c>
      <c r="J15" s="130">
        <f t="shared" ref="J15:J20" si="1">2^I15</f>
        <v>4096</v>
      </c>
      <c r="K15" s="215">
        <f>+IF(ISNUMBER(E15),(E15+new_RF_shift1-F15)/H15*J15,"")</f>
        <v>29.309812471444726</v>
      </c>
    </row>
    <row r="16" spans="2:15" ht="15.75" customHeight="1" x14ac:dyDescent="0.2">
      <c r="B16" s="216" t="s">
        <v>162</v>
      </c>
      <c r="C16" s="158">
        <f>+C15</f>
        <v>267.89930193577561</v>
      </c>
      <c r="D16" s="166" t="s">
        <v>54</v>
      </c>
      <c r="E16" s="157">
        <f>+IF(ISNUMBER(C16),(C16-b_tof)/a_tof+bunch_distance1,"")</f>
        <v>71.508437001655764</v>
      </c>
      <c r="F16" s="155">
        <v>0</v>
      </c>
      <c r="G16" s="153">
        <v>4095</v>
      </c>
      <c r="H16" s="217">
        <f t="shared" si="0"/>
        <v>4096</v>
      </c>
      <c r="I16" s="146">
        <v>12</v>
      </c>
      <c r="J16" s="130">
        <f t="shared" si="1"/>
        <v>4096</v>
      </c>
      <c r="K16" s="215">
        <f>+IF(ISNUMBER(E16),(E16++new_RF_shift1-F16)/H16*J16,"")</f>
        <v>71.508437001655764</v>
      </c>
    </row>
    <row r="17" spans="2:11" ht="15.75" customHeight="1" x14ac:dyDescent="0.2">
      <c r="B17" s="213" t="s">
        <v>163</v>
      </c>
      <c r="C17" s="149" t="str">
        <f>+IF(modeRF2,C16,"")</f>
        <v/>
      </c>
      <c r="D17" s="161" t="s">
        <v>54</v>
      </c>
      <c r="E17" s="148" t="str">
        <f>+IF(ISNUMBER(C17),(C17-b_tof2)/a_tof2,"")</f>
        <v/>
      </c>
      <c r="F17" s="146">
        <v>0</v>
      </c>
      <c r="G17" s="144">
        <v>4095</v>
      </c>
      <c r="H17" s="214">
        <f t="shared" si="0"/>
        <v>4096</v>
      </c>
      <c r="I17" s="146">
        <v>12</v>
      </c>
      <c r="J17" s="130">
        <f t="shared" si="1"/>
        <v>4096</v>
      </c>
      <c r="K17" s="215" t="str">
        <f>+IF(ISNUMBER(E17),(E17+new_RF_shift2-F17)/H17*J17,"")</f>
        <v/>
      </c>
    </row>
    <row r="18" spans="2:11" ht="15.75" customHeight="1" x14ac:dyDescent="0.2">
      <c r="B18" s="216" t="s">
        <v>164</v>
      </c>
      <c r="C18" s="158" t="str">
        <f>+C17</f>
        <v/>
      </c>
      <c r="D18" s="166" t="s">
        <v>54</v>
      </c>
      <c r="E18" s="157" t="str">
        <f>+IF(ISNUMBER(C18),(C18-b_tof2)/a_tof2+bunch_distance2,"")</f>
        <v/>
      </c>
      <c r="F18" s="155">
        <v>0</v>
      </c>
      <c r="G18" s="153">
        <v>4095</v>
      </c>
      <c r="H18" s="217">
        <f t="shared" si="0"/>
        <v>4096</v>
      </c>
      <c r="I18" s="146">
        <v>12</v>
      </c>
      <c r="J18" s="130">
        <f t="shared" si="1"/>
        <v>4096</v>
      </c>
      <c r="K18" s="215" t="str">
        <f>+IF(ISNUMBER(E18),(E18+new_RF_shift2-F18)/H18*J18,"")</f>
        <v/>
      </c>
    </row>
    <row r="19" spans="2:11" ht="15.75" customHeight="1" x14ac:dyDescent="0.2">
      <c r="B19" s="213" t="s">
        <v>103</v>
      </c>
      <c r="C19" s="149">
        <f>+IF(modeDE,(J4-L10)*A,"")</f>
        <v>314.26162990862997</v>
      </c>
      <c r="D19" s="161" t="s">
        <v>53</v>
      </c>
      <c r="E19" s="148">
        <f>+IF(ISNUMBER(C19),(C19-b_pin_de)/a_pin_de,"")</f>
        <v>2634.1094128799446</v>
      </c>
      <c r="F19" s="146">
        <v>0</v>
      </c>
      <c r="G19" s="144">
        <v>4095</v>
      </c>
      <c r="H19" s="214">
        <f t="shared" si="0"/>
        <v>4096</v>
      </c>
      <c r="I19" s="146">
        <v>12</v>
      </c>
      <c r="J19" s="130">
        <f t="shared" si="1"/>
        <v>4096</v>
      </c>
      <c r="K19" s="215">
        <f t="shared" ref="K19:K20" si="2">+IF(ISNUMBER(E19),(E19-F19)/H19*J19,"")</f>
        <v>2634.1094128799446</v>
      </c>
    </row>
    <row r="20" spans="2:11" ht="15.75" customHeight="1" x14ac:dyDescent="0.2">
      <c r="B20" s="213" t="s">
        <v>102</v>
      </c>
      <c r="C20" s="218" t="str">
        <f>+IF(modeSci,J8-C19,"")</f>
        <v/>
      </c>
      <c r="D20" s="166" t="s">
        <v>53</v>
      </c>
      <c r="E20" s="157" t="str">
        <f>+IF(ISNUMBER(C20),(C20-b_sci_de)/a_sci_de,"")</f>
        <v/>
      </c>
      <c r="F20" s="155">
        <v>0</v>
      </c>
      <c r="G20" s="153">
        <v>4095</v>
      </c>
      <c r="H20" s="217">
        <f t="shared" si="0"/>
        <v>4096</v>
      </c>
      <c r="I20" s="155">
        <v>12</v>
      </c>
      <c r="J20" s="176">
        <f t="shared" si="1"/>
        <v>4096</v>
      </c>
      <c r="K20" s="219" t="str">
        <f t="shared" si="2"/>
        <v/>
      </c>
    </row>
    <row r="21" spans="2:11" x14ac:dyDescent="0.2">
      <c r="B21" s="124"/>
      <c r="C21" s="124"/>
      <c r="D21" s="124"/>
      <c r="E21" s="125"/>
      <c r="F21" s="125"/>
      <c r="G21" s="125"/>
      <c r="H21" s="124"/>
      <c r="I21" s="125"/>
      <c r="J21" s="130"/>
      <c r="K21" s="125"/>
    </row>
    <row r="22" spans="2:11" x14ac:dyDescent="0.2">
      <c r="B22" s="124"/>
      <c r="C22" s="124"/>
      <c r="D22" s="124"/>
      <c r="E22" s="125"/>
      <c r="F22" s="125"/>
      <c r="G22" s="125"/>
      <c r="H22" s="124"/>
      <c r="I22" s="125"/>
      <c r="J22" s="130"/>
      <c r="K22" s="125"/>
    </row>
    <row r="23" spans="2:11" x14ac:dyDescent="0.2">
      <c r="B23" s="124"/>
      <c r="C23" s="124"/>
      <c r="D23" s="124"/>
      <c r="E23" s="125"/>
      <c r="F23" s="125"/>
      <c r="G23" s="125"/>
      <c r="H23" s="124"/>
      <c r="I23" s="125"/>
      <c r="J23" s="130"/>
      <c r="K23" s="125"/>
    </row>
    <row r="24" spans="2:11" x14ac:dyDescent="0.2">
      <c r="B24" s="385" t="s">
        <v>101</v>
      </c>
      <c r="C24" s="385"/>
      <c r="D24" s="124"/>
      <c r="E24" s="125"/>
      <c r="F24" s="125"/>
      <c r="G24" s="125"/>
      <c r="H24" s="124"/>
      <c r="I24" s="125"/>
      <c r="J24" s="130"/>
      <c r="K24" s="125"/>
    </row>
    <row r="25" spans="2:11" x14ac:dyDescent="0.2">
      <c r="B25" s="124"/>
      <c r="C25" s="124"/>
      <c r="D25" s="124"/>
      <c r="E25" s="125"/>
      <c r="F25" s="125"/>
      <c r="G25" s="125"/>
      <c r="H25" s="124"/>
      <c r="I25" s="125"/>
      <c r="J25" s="130"/>
      <c r="K25" s="125"/>
    </row>
  </sheetData>
  <sheetProtection sheet="1" objects="1" scenarios="1"/>
  <mergeCells count="6">
    <mergeCell ref="B24:C24"/>
    <mergeCell ref="H2:I2"/>
    <mergeCell ref="C5:D5"/>
    <mergeCell ref="E13:H13"/>
    <mergeCell ref="I13:K13"/>
    <mergeCell ref="C14:D14"/>
  </mergeCells>
  <printOptions horizontalCentered="1"/>
  <pageMargins left="0.74803149606299213" right="0.74803149606299213" top="0.59" bottom="0.6" header="0.34" footer="0.51181102362204722"/>
  <pageSetup orientation="landscape" r:id="rId1"/>
  <headerFooter alignWithMargins="0">
    <oddHeader>&amp;L&amp;D &amp;T&amp;C&amp;F &amp;R&amp;A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B1:AE43"/>
  <sheetViews>
    <sheetView showGridLines="0" showRowColHeaders="0" workbookViewId="0">
      <selection activeCell="AH21" sqref="AH21"/>
    </sheetView>
  </sheetViews>
  <sheetFormatPr defaultRowHeight="12.75" x14ac:dyDescent="0.2"/>
  <cols>
    <col min="1" max="1" width="5.28515625" style="117" customWidth="1"/>
    <col min="2" max="2" width="10.140625" style="124" customWidth="1"/>
    <col min="3" max="3" width="10.7109375" style="124" customWidth="1"/>
    <col min="4" max="4" width="9.140625" style="124"/>
    <col min="5" max="5" width="9.140625" style="125"/>
    <col min="6" max="6" width="7.42578125" style="125" customWidth="1"/>
    <col min="7" max="7" width="7.42578125" style="126" customWidth="1"/>
    <col min="8" max="8" width="8.5703125" style="127" customWidth="1"/>
    <col min="9" max="9" width="12.42578125" style="128" customWidth="1"/>
    <col min="10" max="10" width="10.85546875" style="127" customWidth="1"/>
    <col min="11" max="11" width="7.5703125" style="124" customWidth="1"/>
    <col min="12" max="22" width="9.140625" style="125" hidden="1" customWidth="1"/>
    <col min="23" max="23" width="6.5703125" style="129" hidden="1" customWidth="1"/>
    <col min="24" max="24" width="12.85546875" style="130" hidden="1" customWidth="1"/>
    <col min="25" max="25" width="8.5703125" style="130" hidden="1" customWidth="1"/>
    <col min="26" max="26" width="9.28515625" style="130" customWidth="1"/>
    <col min="27" max="27" width="8" style="130" customWidth="1"/>
    <col min="28" max="28" width="9.5703125" style="130" customWidth="1"/>
    <col min="29" max="29" width="8.7109375" style="125" customWidth="1"/>
    <col min="30" max="30" width="8.7109375" style="126" customWidth="1"/>
    <col min="31" max="268" width="9.140625" style="117"/>
    <col min="269" max="269" width="9.7109375" style="117" customWidth="1"/>
    <col min="270" max="271" width="9.140625" style="117"/>
    <col min="272" max="273" width="7.42578125" style="117" customWidth="1"/>
    <col min="274" max="274" width="8.5703125" style="117" customWidth="1"/>
    <col min="275" max="275" width="12.42578125" style="117" customWidth="1"/>
    <col min="276" max="276" width="10.85546875" style="117" customWidth="1"/>
    <col min="277" max="277" width="7.5703125" style="117" customWidth="1"/>
    <col min="278" max="278" width="9.140625" style="117"/>
    <col min="279" max="281" width="0" style="117" hidden="1" customWidth="1"/>
    <col min="282" max="282" width="9.28515625" style="117" customWidth="1"/>
    <col min="283" max="283" width="8" style="117" customWidth="1"/>
    <col min="284" max="284" width="9.5703125" style="117" customWidth="1"/>
    <col min="285" max="286" width="8.7109375" style="117" customWidth="1"/>
    <col min="287" max="524" width="9.140625" style="117"/>
    <col min="525" max="525" width="9.7109375" style="117" customWidth="1"/>
    <col min="526" max="527" width="9.140625" style="117"/>
    <col min="528" max="529" width="7.42578125" style="117" customWidth="1"/>
    <col min="530" max="530" width="8.5703125" style="117" customWidth="1"/>
    <col min="531" max="531" width="12.42578125" style="117" customWidth="1"/>
    <col min="532" max="532" width="10.85546875" style="117" customWidth="1"/>
    <col min="533" max="533" width="7.5703125" style="117" customWidth="1"/>
    <col min="534" max="534" width="9.140625" style="117"/>
    <col min="535" max="537" width="0" style="117" hidden="1" customWidth="1"/>
    <col min="538" max="538" width="9.28515625" style="117" customWidth="1"/>
    <col min="539" max="539" width="8" style="117" customWidth="1"/>
    <col min="540" max="540" width="9.5703125" style="117" customWidth="1"/>
    <col min="541" max="542" width="8.7109375" style="117" customWidth="1"/>
    <col min="543" max="780" width="9.140625" style="117"/>
    <col min="781" max="781" width="9.7109375" style="117" customWidth="1"/>
    <col min="782" max="783" width="9.140625" style="117"/>
    <col min="784" max="785" width="7.42578125" style="117" customWidth="1"/>
    <col min="786" max="786" width="8.5703125" style="117" customWidth="1"/>
    <col min="787" max="787" width="12.42578125" style="117" customWidth="1"/>
    <col min="788" max="788" width="10.85546875" style="117" customWidth="1"/>
    <col min="789" max="789" width="7.5703125" style="117" customWidth="1"/>
    <col min="790" max="790" width="9.140625" style="117"/>
    <col min="791" max="793" width="0" style="117" hidden="1" customWidth="1"/>
    <col min="794" max="794" width="9.28515625" style="117" customWidth="1"/>
    <col min="795" max="795" width="8" style="117" customWidth="1"/>
    <col min="796" max="796" width="9.5703125" style="117" customWidth="1"/>
    <col min="797" max="798" width="8.7109375" style="117" customWidth="1"/>
    <col min="799" max="1036" width="9.140625" style="117"/>
    <col min="1037" max="1037" width="9.7109375" style="117" customWidth="1"/>
    <col min="1038" max="1039" width="9.140625" style="117"/>
    <col min="1040" max="1041" width="7.42578125" style="117" customWidth="1"/>
    <col min="1042" max="1042" width="8.5703125" style="117" customWidth="1"/>
    <col min="1043" max="1043" width="12.42578125" style="117" customWidth="1"/>
    <col min="1044" max="1044" width="10.85546875" style="117" customWidth="1"/>
    <col min="1045" max="1045" width="7.5703125" style="117" customWidth="1"/>
    <col min="1046" max="1046" width="9.140625" style="117"/>
    <col min="1047" max="1049" width="0" style="117" hidden="1" customWidth="1"/>
    <col min="1050" max="1050" width="9.28515625" style="117" customWidth="1"/>
    <col min="1051" max="1051" width="8" style="117" customWidth="1"/>
    <col min="1052" max="1052" width="9.5703125" style="117" customWidth="1"/>
    <col min="1053" max="1054" width="8.7109375" style="117" customWidth="1"/>
    <col min="1055" max="1292" width="9.140625" style="117"/>
    <col min="1293" max="1293" width="9.7109375" style="117" customWidth="1"/>
    <col min="1294" max="1295" width="9.140625" style="117"/>
    <col min="1296" max="1297" width="7.42578125" style="117" customWidth="1"/>
    <col min="1298" max="1298" width="8.5703125" style="117" customWidth="1"/>
    <col min="1299" max="1299" width="12.42578125" style="117" customWidth="1"/>
    <col min="1300" max="1300" width="10.85546875" style="117" customWidth="1"/>
    <col min="1301" max="1301" width="7.5703125" style="117" customWidth="1"/>
    <col min="1302" max="1302" width="9.140625" style="117"/>
    <col min="1303" max="1305" width="0" style="117" hidden="1" customWidth="1"/>
    <col min="1306" max="1306" width="9.28515625" style="117" customWidth="1"/>
    <col min="1307" max="1307" width="8" style="117" customWidth="1"/>
    <col min="1308" max="1308" width="9.5703125" style="117" customWidth="1"/>
    <col min="1309" max="1310" width="8.7109375" style="117" customWidth="1"/>
    <col min="1311" max="1548" width="9.140625" style="117"/>
    <col min="1549" max="1549" width="9.7109375" style="117" customWidth="1"/>
    <col min="1550" max="1551" width="9.140625" style="117"/>
    <col min="1552" max="1553" width="7.42578125" style="117" customWidth="1"/>
    <col min="1554" max="1554" width="8.5703125" style="117" customWidth="1"/>
    <col min="1555" max="1555" width="12.42578125" style="117" customWidth="1"/>
    <col min="1556" max="1556" width="10.85546875" style="117" customWidth="1"/>
    <col min="1557" max="1557" width="7.5703125" style="117" customWidth="1"/>
    <col min="1558" max="1558" width="9.140625" style="117"/>
    <col min="1559" max="1561" width="0" style="117" hidden="1" customWidth="1"/>
    <col min="1562" max="1562" width="9.28515625" style="117" customWidth="1"/>
    <col min="1563" max="1563" width="8" style="117" customWidth="1"/>
    <col min="1564" max="1564" width="9.5703125" style="117" customWidth="1"/>
    <col min="1565" max="1566" width="8.7109375" style="117" customWidth="1"/>
    <col min="1567" max="1804" width="9.140625" style="117"/>
    <col min="1805" max="1805" width="9.7109375" style="117" customWidth="1"/>
    <col min="1806" max="1807" width="9.140625" style="117"/>
    <col min="1808" max="1809" width="7.42578125" style="117" customWidth="1"/>
    <col min="1810" max="1810" width="8.5703125" style="117" customWidth="1"/>
    <col min="1811" max="1811" width="12.42578125" style="117" customWidth="1"/>
    <col min="1812" max="1812" width="10.85546875" style="117" customWidth="1"/>
    <col min="1813" max="1813" width="7.5703125" style="117" customWidth="1"/>
    <col min="1814" max="1814" width="9.140625" style="117"/>
    <col min="1815" max="1817" width="0" style="117" hidden="1" customWidth="1"/>
    <col min="1818" max="1818" width="9.28515625" style="117" customWidth="1"/>
    <col min="1819" max="1819" width="8" style="117" customWidth="1"/>
    <col min="1820" max="1820" width="9.5703125" style="117" customWidth="1"/>
    <col min="1821" max="1822" width="8.7109375" style="117" customWidth="1"/>
    <col min="1823" max="2060" width="9.140625" style="117"/>
    <col min="2061" max="2061" width="9.7109375" style="117" customWidth="1"/>
    <col min="2062" max="2063" width="9.140625" style="117"/>
    <col min="2064" max="2065" width="7.42578125" style="117" customWidth="1"/>
    <col min="2066" max="2066" width="8.5703125" style="117" customWidth="1"/>
    <col min="2067" max="2067" width="12.42578125" style="117" customWidth="1"/>
    <col min="2068" max="2068" width="10.85546875" style="117" customWidth="1"/>
    <col min="2069" max="2069" width="7.5703125" style="117" customWidth="1"/>
    <col min="2070" max="2070" width="9.140625" style="117"/>
    <col min="2071" max="2073" width="0" style="117" hidden="1" customWidth="1"/>
    <col min="2074" max="2074" width="9.28515625" style="117" customWidth="1"/>
    <col min="2075" max="2075" width="8" style="117" customWidth="1"/>
    <col min="2076" max="2076" width="9.5703125" style="117" customWidth="1"/>
    <col min="2077" max="2078" width="8.7109375" style="117" customWidth="1"/>
    <col min="2079" max="2316" width="9.140625" style="117"/>
    <col min="2317" max="2317" width="9.7109375" style="117" customWidth="1"/>
    <col min="2318" max="2319" width="9.140625" style="117"/>
    <col min="2320" max="2321" width="7.42578125" style="117" customWidth="1"/>
    <col min="2322" max="2322" width="8.5703125" style="117" customWidth="1"/>
    <col min="2323" max="2323" width="12.42578125" style="117" customWidth="1"/>
    <col min="2324" max="2324" width="10.85546875" style="117" customWidth="1"/>
    <col min="2325" max="2325" width="7.5703125" style="117" customWidth="1"/>
    <col min="2326" max="2326" width="9.140625" style="117"/>
    <col min="2327" max="2329" width="0" style="117" hidden="1" customWidth="1"/>
    <col min="2330" max="2330" width="9.28515625" style="117" customWidth="1"/>
    <col min="2331" max="2331" width="8" style="117" customWidth="1"/>
    <col min="2332" max="2332" width="9.5703125" style="117" customWidth="1"/>
    <col min="2333" max="2334" width="8.7109375" style="117" customWidth="1"/>
    <col min="2335" max="2572" width="9.140625" style="117"/>
    <col min="2573" max="2573" width="9.7109375" style="117" customWidth="1"/>
    <col min="2574" max="2575" width="9.140625" style="117"/>
    <col min="2576" max="2577" width="7.42578125" style="117" customWidth="1"/>
    <col min="2578" max="2578" width="8.5703125" style="117" customWidth="1"/>
    <col min="2579" max="2579" width="12.42578125" style="117" customWidth="1"/>
    <col min="2580" max="2580" width="10.85546875" style="117" customWidth="1"/>
    <col min="2581" max="2581" width="7.5703125" style="117" customWidth="1"/>
    <col min="2582" max="2582" width="9.140625" style="117"/>
    <col min="2583" max="2585" width="0" style="117" hidden="1" customWidth="1"/>
    <col min="2586" max="2586" width="9.28515625" style="117" customWidth="1"/>
    <col min="2587" max="2587" width="8" style="117" customWidth="1"/>
    <col min="2588" max="2588" width="9.5703125" style="117" customWidth="1"/>
    <col min="2589" max="2590" width="8.7109375" style="117" customWidth="1"/>
    <col min="2591" max="2828" width="9.140625" style="117"/>
    <col min="2829" max="2829" width="9.7109375" style="117" customWidth="1"/>
    <col min="2830" max="2831" width="9.140625" style="117"/>
    <col min="2832" max="2833" width="7.42578125" style="117" customWidth="1"/>
    <col min="2834" max="2834" width="8.5703125" style="117" customWidth="1"/>
    <col min="2835" max="2835" width="12.42578125" style="117" customWidth="1"/>
    <col min="2836" max="2836" width="10.85546875" style="117" customWidth="1"/>
    <col min="2837" max="2837" width="7.5703125" style="117" customWidth="1"/>
    <col min="2838" max="2838" width="9.140625" style="117"/>
    <col min="2839" max="2841" width="0" style="117" hidden="1" customWidth="1"/>
    <col min="2842" max="2842" width="9.28515625" style="117" customWidth="1"/>
    <col min="2843" max="2843" width="8" style="117" customWidth="1"/>
    <col min="2844" max="2844" width="9.5703125" style="117" customWidth="1"/>
    <col min="2845" max="2846" width="8.7109375" style="117" customWidth="1"/>
    <col min="2847" max="3084" width="9.140625" style="117"/>
    <col min="3085" max="3085" width="9.7109375" style="117" customWidth="1"/>
    <col min="3086" max="3087" width="9.140625" style="117"/>
    <col min="3088" max="3089" width="7.42578125" style="117" customWidth="1"/>
    <col min="3090" max="3090" width="8.5703125" style="117" customWidth="1"/>
    <col min="3091" max="3091" width="12.42578125" style="117" customWidth="1"/>
    <col min="3092" max="3092" width="10.85546875" style="117" customWidth="1"/>
    <col min="3093" max="3093" width="7.5703125" style="117" customWidth="1"/>
    <col min="3094" max="3094" width="9.140625" style="117"/>
    <col min="3095" max="3097" width="0" style="117" hidden="1" customWidth="1"/>
    <col min="3098" max="3098" width="9.28515625" style="117" customWidth="1"/>
    <col min="3099" max="3099" width="8" style="117" customWidth="1"/>
    <col min="3100" max="3100" width="9.5703125" style="117" customWidth="1"/>
    <col min="3101" max="3102" width="8.7109375" style="117" customWidth="1"/>
    <col min="3103" max="3340" width="9.140625" style="117"/>
    <col min="3341" max="3341" width="9.7109375" style="117" customWidth="1"/>
    <col min="3342" max="3343" width="9.140625" style="117"/>
    <col min="3344" max="3345" width="7.42578125" style="117" customWidth="1"/>
    <col min="3346" max="3346" width="8.5703125" style="117" customWidth="1"/>
    <col min="3347" max="3347" width="12.42578125" style="117" customWidth="1"/>
    <col min="3348" max="3348" width="10.85546875" style="117" customWidth="1"/>
    <col min="3349" max="3349" width="7.5703125" style="117" customWidth="1"/>
    <col min="3350" max="3350" width="9.140625" style="117"/>
    <col min="3351" max="3353" width="0" style="117" hidden="1" customWidth="1"/>
    <col min="3354" max="3354" width="9.28515625" style="117" customWidth="1"/>
    <col min="3355" max="3355" width="8" style="117" customWidth="1"/>
    <col min="3356" max="3356" width="9.5703125" style="117" customWidth="1"/>
    <col min="3357" max="3358" width="8.7109375" style="117" customWidth="1"/>
    <col min="3359" max="3596" width="9.140625" style="117"/>
    <col min="3597" max="3597" width="9.7109375" style="117" customWidth="1"/>
    <col min="3598" max="3599" width="9.140625" style="117"/>
    <col min="3600" max="3601" width="7.42578125" style="117" customWidth="1"/>
    <col min="3602" max="3602" width="8.5703125" style="117" customWidth="1"/>
    <col min="3603" max="3603" width="12.42578125" style="117" customWidth="1"/>
    <col min="3604" max="3604" width="10.85546875" style="117" customWidth="1"/>
    <col min="3605" max="3605" width="7.5703125" style="117" customWidth="1"/>
    <col min="3606" max="3606" width="9.140625" style="117"/>
    <col min="3607" max="3609" width="0" style="117" hidden="1" customWidth="1"/>
    <col min="3610" max="3610" width="9.28515625" style="117" customWidth="1"/>
    <col min="3611" max="3611" width="8" style="117" customWidth="1"/>
    <col min="3612" max="3612" width="9.5703125" style="117" customWidth="1"/>
    <col min="3613" max="3614" width="8.7109375" style="117" customWidth="1"/>
    <col min="3615" max="3852" width="9.140625" style="117"/>
    <col min="3853" max="3853" width="9.7109375" style="117" customWidth="1"/>
    <col min="3854" max="3855" width="9.140625" style="117"/>
    <col min="3856" max="3857" width="7.42578125" style="117" customWidth="1"/>
    <col min="3858" max="3858" width="8.5703125" style="117" customWidth="1"/>
    <col min="3859" max="3859" width="12.42578125" style="117" customWidth="1"/>
    <col min="3860" max="3860" width="10.85546875" style="117" customWidth="1"/>
    <col min="3861" max="3861" width="7.5703125" style="117" customWidth="1"/>
    <col min="3862" max="3862" width="9.140625" style="117"/>
    <col min="3863" max="3865" width="0" style="117" hidden="1" customWidth="1"/>
    <col min="3866" max="3866" width="9.28515625" style="117" customWidth="1"/>
    <col min="3867" max="3867" width="8" style="117" customWidth="1"/>
    <col min="3868" max="3868" width="9.5703125" style="117" customWidth="1"/>
    <col min="3869" max="3870" width="8.7109375" style="117" customWidth="1"/>
    <col min="3871" max="4108" width="9.140625" style="117"/>
    <col min="4109" max="4109" width="9.7109375" style="117" customWidth="1"/>
    <col min="4110" max="4111" width="9.140625" style="117"/>
    <col min="4112" max="4113" width="7.42578125" style="117" customWidth="1"/>
    <col min="4114" max="4114" width="8.5703125" style="117" customWidth="1"/>
    <col min="4115" max="4115" width="12.42578125" style="117" customWidth="1"/>
    <col min="4116" max="4116" width="10.85546875" style="117" customWidth="1"/>
    <col min="4117" max="4117" width="7.5703125" style="117" customWidth="1"/>
    <col min="4118" max="4118" width="9.140625" style="117"/>
    <col min="4119" max="4121" width="0" style="117" hidden="1" customWidth="1"/>
    <col min="4122" max="4122" width="9.28515625" style="117" customWidth="1"/>
    <col min="4123" max="4123" width="8" style="117" customWidth="1"/>
    <col min="4124" max="4124" width="9.5703125" style="117" customWidth="1"/>
    <col min="4125" max="4126" width="8.7109375" style="117" customWidth="1"/>
    <col min="4127" max="4364" width="9.140625" style="117"/>
    <col min="4365" max="4365" width="9.7109375" style="117" customWidth="1"/>
    <col min="4366" max="4367" width="9.140625" style="117"/>
    <col min="4368" max="4369" width="7.42578125" style="117" customWidth="1"/>
    <col min="4370" max="4370" width="8.5703125" style="117" customWidth="1"/>
    <col min="4371" max="4371" width="12.42578125" style="117" customWidth="1"/>
    <col min="4372" max="4372" width="10.85546875" style="117" customWidth="1"/>
    <col min="4373" max="4373" width="7.5703125" style="117" customWidth="1"/>
    <col min="4374" max="4374" width="9.140625" style="117"/>
    <col min="4375" max="4377" width="0" style="117" hidden="1" customWidth="1"/>
    <col min="4378" max="4378" width="9.28515625" style="117" customWidth="1"/>
    <col min="4379" max="4379" width="8" style="117" customWidth="1"/>
    <col min="4380" max="4380" width="9.5703125" style="117" customWidth="1"/>
    <col min="4381" max="4382" width="8.7109375" style="117" customWidth="1"/>
    <col min="4383" max="4620" width="9.140625" style="117"/>
    <col min="4621" max="4621" width="9.7109375" style="117" customWidth="1"/>
    <col min="4622" max="4623" width="9.140625" style="117"/>
    <col min="4624" max="4625" width="7.42578125" style="117" customWidth="1"/>
    <col min="4626" max="4626" width="8.5703125" style="117" customWidth="1"/>
    <col min="4627" max="4627" width="12.42578125" style="117" customWidth="1"/>
    <col min="4628" max="4628" width="10.85546875" style="117" customWidth="1"/>
    <col min="4629" max="4629" width="7.5703125" style="117" customWidth="1"/>
    <col min="4630" max="4630" width="9.140625" style="117"/>
    <col min="4631" max="4633" width="0" style="117" hidden="1" customWidth="1"/>
    <col min="4634" max="4634" width="9.28515625" style="117" customWidth="1"/>
    <col min="4635" max="4635" width="8" style="117" customWidth="1"/>
    <col min="4636" max="4636" width="9.5703125" style="117" customWidth="1"/>
    <col min="4637" max="4638" width="8.7109375" style="117" customWidth="1"/>
    <col min="4639" max="4876" width="9.140625" style="117"/>
    <col min="4877" max="4877" width="9.7109375" style="117" customWidth="1"/>
    <col min="4878" max="4879" width="9.140625" style="117"/>
    <col min="4880" max="4881" width="7.42578125" style="117" customWidth="1"/>
    <col min="4882" max="4882" width="8.5703125" style="117" customWidth="1"/>
    <col min="4883" max="4883" width="12.42578125" style="117" customWidth="1"/>
    <col min="4884" max="4884" width="10.85546875" style="117" customWidth="1"/>
    <col min="4885" max="4885" width="7.5703125" style="117" customWidth="1"/>
    <col min="4886" max="4886" width="9.140625" style="117"/>
    <col min="4887" max="4889" width="0" style="117" hidden="1" customWidth="1"/>
    <col min="4890" max="4890" width="9.28515625" style="117" customWidth="1"/>
    <col min="4891" max="4891" width="8" style="117" customWidth="1"/>
    <col min="4892" max="4892" width="9.5703125" style="117" customWidth="1"/>
    <col min="4893" max="4894" width="8.7109375" style="117" customWidth="1"/>
    <col min="4895" max="5132" width="9.140625" style="117"/>
    <col min="5133" max="5133" width="9.7109375" style="117" customWidth="1"/>
    <col min="5134" max="5135" width="9.140625" style="117"/>
    <col min="5136" max="5137" width="7.42578125" style="117" customWidth="1"/>
    <col min="5138" max="5138" width="8.5703125" style="117" customWidth="1"/>
    <col min="5139" max="5139" width="12.42578125" style="117" customWidth="1"/>
    <col min="5140" max="5140" width="10.85546875" style="117" customWidth="1"/>
    <col min="5141" max="5141" width="7.5703125" style="117" customWidth="1"/>
    <col min="5142" max="5142" width="9.140625" style="117"/>
    <col min="5143" max="5145" width="0" style="117" hidden="1" customWidth="1"/>
    <col min="5146" max="5146" width="9.28515625" style="117" customWidth="1"/>
    <col min="5147" max="5147" width="8" style="117" customWidth="1"/>
    <col min="5148" max="5148" width="9.5703125" style="117" customWidth="1"/>
    <col min="5149" max="5150" width="8.7109375" style="117" customWidth="1"/>
    <col min="5151" max="5388" width="9.140625" style="117"/>
    <col min="5389" max="5389" width="9.7109375" style="117" customWidth="1"/>
    <col min="5390" max="5391" width="9.140625" style="117"/>
    <col min="5392" max="5393" width="7.42578125" style="117" customWidth="1"/>
    <col min="5394" max="5394" width="8.5703125" style="117" customWidth="1"/>
    <col min="5395" max="5395" width="12.42578125" style="117" customWidth="1"/>
    <col min="5396" max="5396" width="10.85546875" style="117" customWidth="1"/>
    <col min="5397" max="5397" width="7.5703125" style="117" customWidth="1"/>
    <col min="5398" max="5398" width="9.140625" style="117"/>
    <col min="5399" max="5401" width="0" style="117" hidden="1" customWidth="1"/>
    <col min="5402" max="5402" width="9.28515625" style="117" customWidth="1"/>
    <col min="5403" max="5403" width="8" style="117" customWidth="1"/>
    <col min="5404" max="5404" width="9.5703125" style="117" customWidth="1"/>
    <col min="5405" max="5406" width="8.7109375" style="117" customWidth="1"/>
    <col min="5407" max="5644" width="9.140625" style="117"/>
    <col min="5645" max="5645" width="9.7109375" style="117" customWidth="1"/>
    <col min="5646" max="5647" width="9.140625" style="117"/>
    <col min="5648" max="5649" width="7.42578125" style="117" customWidth="1"/>
    <col min="5650" max="5650" width="8.5703125" style="117" customWidth="1"/>
    <col min="5651" max="5651" width="12.42578125" style="117" customWidth="1"/>
    <col min="5652" max="5652" width="10.85546875" style="117" customWidth="1"/>
    <col min="5653" max="5653" width="7.5703125" style="117" customWidth="1"/>
    <col min="5654" max="5654" width="9.140625" style="117"/>
    <col min="5655" max="5657" width="0" style="117" hidden="1" customWidth="1"/>
    <col min="5658" max="5658" width="9.28515625" style="117" customWidth="1"/>
    <col min="5659" max="5659" width="8" style="117" customWidth="1"/>
    <col min="5660" max="5660" width="9.5703125" style="117" customWidth="1"/>
    <col min="5661" max="5662" width="8.7109375" style="117" customWidth="1"/>
    <col min="5663" max="5900" width="9.140625" style="117"/>
    <col min="5901" max="5901" width="9.7109375" style="117" customWidth="1"/>
    <col min="5902" max="5903" width="9.140625" style="117"/>
    <col min="5904" max="5905" width="7.42578125" style="117" customWidth="1"/>
    <col min="5906" max="5906" width="8.5703125" style="117" customWidth="1"/>
    <col min="5907" max="5907" width="12.42578125" style="117" customWidth="1"/>
    <col min="5908" max="5908" width="10.85546875" style="117" customWidth="1"/>
    <col min="5909" max="5909" width="7.5703125" style="117" customWidth="1"/>
    <col min="5910" max="5910" width="9.140625" style="117"/>
    <col min="5911" max="5913" width="0" style="117" hidden="1" customWidth="1"/>
    <col min="5914" max="5914" width="9.28515625" style="117" customWidth="1"/>
    <col min="5915" max="5915" width="8" style="117" customWidth="1"/>
    <col min="5916" max="5916" width="9.5703125" style="117" customWidth="1"/>
    <col min="5917" max="5918" width="8.7109375" style="117" customWidth="1"/>
    <col min="5919" max="6156" width="9.140625" style="117"/>
    <col min="6157" max="6157" width="9.7109375" style="117" customWidth="1"/>
    <col min="6158" max="6159" width="9.140625" style="117"/>
    <col min="6160" max="6161" width="7.42578125" style="117" customWidth="1"/>
    <col min="6162" max="6162" width="8.5703125" style="117" customWidth="1"/>
    <col min="6163" max="6163" width="12.42578125" style="117" customWidth="1"/>
    <col min="6164" max="6164" width="10.85546875" style="117" customWidth="1"/>
    <col min="6165" max="6165" width="7.5703125" style="117" customWidth="1"/>
    <col min="6166" max="6166" width="9.140625" style="117"/>
    <col min="6167" max="6169" width="0" style="117" hidden="1" customWidth="1"/>
    <col min="6170" max="6170" width="9.28515625" style="117" customWidth="1"/>
    <col min="6171" max="6171" width="8" style="117" customWidth="1"/>
    <col min="6172" max="6172" width="9.5703125" style="117" customWidth="1"/>
    <col min="6173" max="6174" width="8.7109375" style="117" customWidth="1"/>
    <col min="6175" max="6412" width="9.140625" style="117"/>
    <col min="6413" max="6413" width="9.7109375" style="117" customWidth="1"/>
    <col min="6414" max="6415" width="9.140625" style="117"/>
    <col min="6416" max="6417" width="7.42578125" style="117" customWidth="1"/>
    <col min="6418" max="6418" width="8.5703125" style="117" customWidth="1"/>
    <col min="6419" max="6419" width="12.42578125" style="117" customWidth="1"/>
    <col min="6420" max="6420" width="10.85546875" style="117" customWidth="1"/>
    <col min="6421" max="6421" width="7.5703125" style="117" customWidth="1"/>
    <col min="6422" max="6422" width="9.140625" style="117"/>
    <col min="6423" max="6425" width="0" style="117" hidden="1" customWidth="1"/>
    <col min="6426" max="6426" width="9.28515625" style="117" customWidth="1"/>
    <col min="6427" max="6427" width="8" style="117" customWidth="1"/>
    <col min="6428" max="6428" width="9.5703125" style="117" customWidth="1"/>
    <col min="6429" max="6430" width="8.7109375" style="117" customWidth="1"/>
    <col min="6431" max="6668" width="9.140625" style="117"/>
    <col min="6669" max="6669" width="9.7109375" style="117" customWidth="1"/>
    <col min="6670" max="6671" width="9.140625" style="117"/>
    <col min="6672" max="6673" width="7.42578125" style="117" customWidth="1"/>
    <col min="6674" max="6674" width="8.5703125" style="117" customWidth="1"/>
    <col min="6675" max="6675" width="12.42578125" style="117" customWidth="1"/>
    <col min="6676" max="6676" width="10.85546875" style="117" customWidth="1"/>
    <col min="6677" max="6677" width="7.5703125" style="117" customWidth="1"/>
    <col min="6678" max="6678" width="9.140625" style="117"/>
    <col min="6679" max="6681" width="0" style="117" hidden="1" customWidth="1"/>
    <col min="6682" max="6682" width="9.28515625" style="117" customWidth="1"/>
    <col min="6683" max="6683" width="8" style="117" customWidth="1"/>
    <col min="6684" max="6684" width="9.5703125" style="117" customWidth="1"/>
    <col min="6685" max="6686" width="8.7109375" style="117" customWidth="1"/>
    <col min="6687" max="6924" width="9.140625" style="117"/>
    <col min="6925" max="6925" width="9.7109375" style="117" customWidth="1"/>
    <col min="6926" max="6927" width="9.140625" style="117"/>
    <col min="6928" max="6929" width="7.42578125" style="117" customWidth="1"/>
    <col min="6930" max="6930" width="8.5703125" style="117" customWidth="1"/>
    <col min="6931" max="6931" width="12.42578125" style="117" customWidth="1"/>
    <col min="6932" max="6932" width="10.85546875" style="117" customWidth="1"/>
    <col min="6933" max="6933" width="7.5703125" style="117" customWidth="1"/>
    <col min="6934" max="6934" width="9.140625" style="117"/>
    <col min="6935" max="6937" width="0" style="117" hidden="1" customWidth="1"/>
    <col min="6938" max="6938" width="9.28515625" style="117" customWidth="1"/>
    <col min="6939" max="6939" width="8" style="117" customWidth="1"/>
    <col min="6940" max="6940" width="9.5703125" style="117" customWidth="1"/>
    <col min="6941" max="6942" width="8.7109375" style="117" customWidth="1"/>
    <col min="6943" max="7180" width="9.140625" style="117"/>
    <col min="7181" max="7181" width="9.7109375" style="117" customWidth="1"/>
    <col min="7182" max="7183" width="9.140625" style="117"/>
    <col min="7184" max="7185" width="7.42578125" style="117" customWidth="1"/>
    <col min="7186" max="7186" width="8.5703125" style="117" customWidth="1"/>
    <col min="7187" max="7187" width="12.42578125" style="117" customWidth="1"/>
    <col min="7188" max="7188" width="10.85546875" style="117" customWidth="1"/>
    <col min="7189" max="7189" width="7.5703125" style="117" customWidth="1"/>
    <col min="7190" max="7190" width="9.140625" style="117"/>
    <col min="7191" max="7193" width="0" style="117" hidden="1" customWidth="1"/>
    <col min="7194" max="7194" width="9.28515625" style="117" customWidth="1"/>
    <col min="7195" max="7195" width="8" style="117" customWidth="1"/>
    <col min="7196" max="7196" width="9.5703125" style="117" customWidth="1"/>
    <col min="7197" max="7198" width="8.7109375" style="117" customWidth="1"/>
    <col min="7199" max="7436" width="9.140625" style="117"/>
    <col min="7437" max="7437" width="9.7109375" style="117" customWidth="1"/>
    <col min="7438" max="7439" width="9.140625" style="117"/>
    <col min="7440" max="7441" width="7.42578125" style="117" customWidth="1"/>
    <col min="7442" max="7442" width="8.5703125" style="117" customWidth="1"/>
    <col min="7443" max="7443" width="12.42578125" style="117" customWidth="1"/>
    <col min="7444" max="7444" width="10.85546875" style="117" customWidth="1"/>
    <col min="7445" max="7445" width="7.5703125" style="117" customWidth="1"/>
    <col min="7446" max="7446" width="9.140625" style="117"/>
    <col min="7447" max="7449" width="0" style="117" hidden="1" customWidth="1"/>
    <col min="7450" max="7450" width="9.28515625" style="117" customWidth="1"/>
    <col min="7451" max="7451" width="8" style="117" customWidth="1"/>
    <col min="7452" max="7452" width="9.5703125" style="117" customWidth="1"/>
    <col min="7453" max="7454" width="8.7109375" style="117" customWidth="1"/>
    <col min="7455" max="7692" width="9.140625" style="117"/>
    <col min="7693" max="7693" width="9.7109375" style="117" customWidth="1"/>
    <col min="7694" max="7695" width="9.140625" style="117"/>
    <col min="7696" max="7697" width="7.42578125" style="117" customWidth="1"/>
    <col min="7698" max="7698" width="8.5703125" style="117" customWidth="1"/>
    <col min="7699" max="7699" width="12.42578125" style="117" customWidth="1"/>
    <col min="7700" max="7700" width="10.85546875" style="117" customWidth="1"/>
    <col min="7701" max="7701" width="7.5703125" style="117" customWidth="1"/>
    <col min="7702" max="7702" width="9.140625" style="117"/>
    <col min="7703" max="7705" width="0" style="117" hidden="1" customWidth="1"/>
    <col min="7706" max="7706" width="9.28515625" style="117" customWidth="1"/>
    <col min="7707" max="7707" width="8" style="117" customWidth="1"/>
    <col min="7708" max="7708" width="9.5703125" style="117" customWidth="1"/>
    <col min="7709" max="7710" width="8.7109375" style="117" customWidth="1"/>
    <col min="7711" max="7948" width="9.140625" style="117"/>
    <col min="7949" max="7949" width="9.7109375" style="117" customWidth="1"/>
    <col min="7950" max="7951" width="9.140625" style="117"/>
    <col min="7952" max="7953" width="7.42578125" style="117" customWidth="1"/>
    <col min="7954" max="7954" width="8.5703125" style="117" customWidth="1"/>
    <col min="7955" max="7955" width="12.42578125" style="117" customWidth="1"/>
    <col min="7956" max="7956" width="10.85546875" style="117" customWidth="1"/>
    <col min="7957" max="7957" width="7.5703125" style="117" customWidth="1"/>
    <col min="7958" max="7958" width="9.140625" style="117"/>
    <col min="7959" max="7961" width="0" style="117" hidden="1" customWidth="1"/>
    <col min="7962" max="7962" width="9.28515625" style="117" customWidth="1"/>
    <col min="7963" max="7963" width="8" style="117" customWidth="1"/>
    <col min="7964" max="7964" width="9.5703125" style="117" customWidth="1"/>
    <col min="7965" max="7966" width="8.7109375" style="117" customWidth="1"/>
    <col min="7967" max="8204" width="9.140625" style="117"/>
    <col min="8205" max="8205" width="9.7109375" style="117" customWidth="1"/>
    <col min="8206" max="8207" width="9.140625" style="117"/>
    <col min="8208" max="8209" width="7.42578125" style="117" customWidth="1"/>
    <col min="8210" max="8210" width="8.5703125" style="117" customWidth="1"/>
    <col min="8211" max="8211" width="12.42578125" style="117" customWidth="1"/>
    <col min="8212" max="8212" width="10.85546875" style="117" customWidth="1"/>
    <col min="8213" max="8213" width="7.5703125" style="117" customWidth="1"/>
    <col min="8214" max="8214" width="9.140625" style="117"/>
    <col min="8215" max="8217" width="0" style="117" hidden="1" customWidth="1"/>
    <col min="8218" max="8218" width="9.28515625" style="117" customWidth="1"/>
    <col min="8219" max="8219" width="8" style="117" customWidth="1"/>
    <col min="8220" max="8220" width="9.5703125" style="117" customWidth="1"/>
    <col min="8221" max="8222" width="8.7109375" style="117" customWidth="1"/>
    <col min="8223" max="8460" width="9.140625" style="117"/>
    <col min="8461" max="8461" width="9.7109375" style="117" customWidth="1"/>
    <col min="8462" max="8463" width="9.140625" style="117"/>
    <col min="8464" max="8465" width="7.42578125" style="117" customWidth="1"/>
    <col min="8466" max="8466" width="8.5703125" style="117" customWidth="1"/>
    <col min="8467" max="8467" width="12.42578125" style="117" customWidth="1"/>
    <col min="8468" max="8468" width="10.85546875" style="117" customWidth="1"/>
    <col min="8469" max="8469" width="7.5703125" style="117" customWidth="1"/>
    <col min="8470" max="8470" width="9.140625" style="117"/>
    <col min="8471" max="8473" width="0" style="117" hidden="1" customWidth="1"/>
    <col min="8474" max="8474" width="9.28515625" style="117" customWidth="1"/>
    <col min="8475" max="8475" width="8" style="117" customWidth="1"/>
    <col min="8476" max="8476" width="9.5703125" style="117" customWidth="1"/>
    <col min="8477" max="8478" width="8.7109375" style="117" customWidth="1"/>
    <col min="8479" max="8716" width="9.140625" style="117"/>
    <col min="8717" max="8717" width="9.7109375" style="117" customWidth="1"/>
    <col min="8718" max="8719" width="9.140625" style="117"/>
    <col min="8720" max="8721" width="7.42578125" style="117" customWidth="1"/>
    <col min="8722" max="8722" width="8.5703125" style="117" customWidth="1"/>
    <col min="8723" max="8723" width="12.42578125" style="117" customWidth="1"/>
    <col min="8724" max="8724" width="10.85546875" style="117" customWidth="1"/>
    <col min="8725" max="8725" width="7.5703125" style="117" customWidth="1"/>
    <col min="8726" max="8726" width="9.140625" style="117"/>
    <col min="8727" max="8729" width="0" style="117" hidden="1" customWidth="1"/>
    <col min="8730" max="8730" width="9.28515625" style="117" customWidth="1"/>
    <col min="8731" max="8731" width="8" style="117" customWidth="1"/>
    <col min="8732" max="8732" width="9.5703125" style="117" customWidth="1"/>
    <col min="8733" max="8734" width="8.7109375" style="117" customWidth="1"/>
    <col min="8735" max="8972" width="9.140625" style="117"/>
    <col min="8973" max="8973" width="9.7109375" style="117" customWidth="1"/>
    <col min="8974" max="8975" width="9.140625" style="117"/>
    <col min="8976" max="8977" width="7.42578125" style="117" customWidth="1"/>
    <col min="8978" max="8978" width="8.5703125" style="117" customWidth="1"/>
    <col min="8979" max="8979" width="12.42578125" style="117" customWidth="1"/>
    <col min="8980" max="8980" width="10.85546875" style="117" customWidth="1"/>
    <col min="8981" max="8981" width="7.5703125" style="117" customWidth="1"/>
    <col min="8982" max="8982" width="9.140625" style="117"/>
    <col min="8983" max="8985" width="0" style="117" hidden="1" customWidth="1"/>
    <col min="8986" max="8986" width="9.28515625" style="117" customWidth="1"/>
    <col min="8987" max="8987" width="8" style="117" customWidth="1"/>
    <col min="8988" max="8988" width="9.5703125" style="117" customWidth="1"/>
    <col min="8989" max="8990" width="8.7109375" style="117" customWidth="1"/>
    <col min="8991" max="9228" width="9.140625" style="117"/>
    <col min="9229" max="9229" width="9.7109375" style="117" customWidth="1"/>
    <col min="9230" max="9231" width="9.140625" style="117"/>
    <col min="9232" max="9233" width="7.42578125" style="117" customWidth="1"/>
    <col min="9234" max="9234" width="8.5703125" style="117" customWidth="1"/>
    <col min="9235" max="9235" width="12.42578125" style="117" customWidth="1"/>
    <col min="9236" max="9236" width="10.85546875" style="117" customWidth="1"/>
    <col min="9237" max="9237" width="7.5703125" style="117" customWidth="1"/>
    <col min="9238" max="9238" width="9.140625" style="117"/>
    <col min="9239" max="9241" width="0" style="117" hidden="1" customWidth="1"/>
    <col min="9242" max="9242" width="9.28515625" style="117" customWidth="1"/>
    <col min="9243" max="9243" width="8" style="117" customWidth="1"/>
    <col min="9244" max="9244" width="9.5703125" style="117" customWidth="1"/>
    <col min="9245" max="9246" width="8.7109375" style="117" customWidth="1"/>
    <col min="9247" max="9484" width="9.140625" style="117"/>
    <col min="9485" max="9485" width="9.7109375" style="117" customWidth="1"/>
    <col min="9486" max="9487" width="9.140625" style="117"/>
    <col min="9488" max="9489" width="7.42578125" style="117" customWidth="1"/>
    <col min="9490" max="9490" width="8.5703125" style="117" customWidth="1"/>
    <col min="9491" max="9491" width="12.42578125" style="117" customWidth="1"/>
    <col min="9492" max="9492" width="10.85546875" style="117" customWidth="1"/>
    <col min="9493" max="9493" width="7.5703125" style="117" customWidth="1"/>
    <col min="9494" max="9494" width="9.140625" style="117"/>
    <col min="9495" max="9497" width="0" style="117" hidden="1" customWidth="1"/>
    <col min="9498" max="9498" width="9.28515625" style="117" customWidth="1"/>
    <col min="9499" max="9499" width="8" style="117" customWidth="1"/>
    <col min="9500" max="9500" width="9.5703125" style="117" customWidth="1"/>
    <col min="9501" max="9502" width="8.7109375" style="117" customWidth="1"/>
    <col min="9503" max="9740" width="9.140625" style="117"/>
    <col min="9741" max="9741" width="9.7109375" style="117" customWidth="1"/>
    <col min="9742" max="9743" width="9.140625" style="117"/>
    <col min="9744" max="9745" width="7.42578125" style="117" customWidth="1"/>
    <col min="9746" max="9746" width="8.5703125" style="117" customWidth="1"/>
    <col min="9747" max="9747" width="12.42578125" style="117" customWidth="1"/>
    <col min="9748" max="9748" width="10.85546875" style="117" customWidth="1"/>
    <col min="9749" max="9749" width="7.5703125" style="117" customWidth="1"/>
    <col min="9750" max="9750" width="9.140625" style="117"/>
    <col min="9751" max="9753" width="0" style="117" hidden="1" customWidth="1"/>
    <col min="9754" max="9754" width="9.28515625" style="117" customWidth="1"/>
    <col min="9755" max="9755" width="8" style="117" customWidth="1"/>
    <col min="9756" max="9756" width="9.5703125" style="117" customWidth="1"/>
    <col min="9757" max="9758" width="8.7109375" style="117" customWidth="1"/>
    <col min="9759" max="9996" width="9.140625" style="117"/>
    <col min="9997" max="9997" width="9.7109375" style="117" customWidth="1"/>
    <col min="9998" max="9999" width="9.140625" style="117"/>
    <col min="10000" max="10001" width="7.42578125" style="117" customWidth="1"/>
    <col min="10002" max="10002" width="8.5703125" style="117" customWidth="1"/>
    <col min="10003" max="10003" width="12.42578125" style="117" customWidth="1"/>
    <col min="10004" max="10004" width="10.85546875" style="117" customWidth="1"/>
    <col min="10005" max="10005" width="7.5703125" style="117" customWidth="1"/>
    <col min="10006" max="10006" width="9.140625" style="117"/>
    <col min="10007" max="10009" width="0" style="117" hidden="1" customWidth="1"/>
    <col min="10010" max="10010" width="9.28515625" style="117" customWidth="1"/>
    <col min="10011" max="10011" width="8" style="117" customWidth="1"/>
    <col min="10012" max="10012" width="9.5703125" style="117" customWidth="1"/>
    <col min="10013" max="10014" width="8.7109375" style="117" customWidth="1"/>
    <col min="10015" max="10252" width="9.140625" style="117"/>
    <col min="10253" max="10253" width="9.7109375" style="117" customWidth="1"/>
    <col min="10254" max="10255" width="9.140625" style="117"/>
    <col min="10256" max="10257" width="7.42578125" style="117" customWidth="1"/>
    <col min="10258" max="10258" width="8.5703125" style="117" customWidth="1"/>
    <col min="10259" max="10259" width="12.42578125" style="117" customWidth="1"/>
    <col min="10260" max="10260" width="10.85546875" style="117" customWidth="1"/>
    <col min="10261" max="10261" width="7.5703125" style="117" customWidth="1"/>
    <col min="10262" max="10262" width="9.140625" style="117"/>
    <col min="10263" max="10265" width="0" style="117" hidden="1" customWidth="1"/>
    <col min="10266" max="10266" width="9.28515625" style="117" customWidth="1"/>
    <col min="10267" max="10267" width="8" style="117" customWidth="1"/>
    <col min="10268" max="10268" width="9.5703125" style="117" customWidth="1"/>
    <col min="10269" max="10270" width="8.7109375" style="117" customWidth="1"/>
    <col min="10271" max="10508" width="9.140625" style="117"/>
    <col min="10509" max="10509" width="9.7109375" style="117" customWidth="1"/>
    <col min="10510" max="10511" width="9.140625" style="117"/>
    <col min="10512" max="10513" width="7.42578125" style="117" customWidth="1"/>
    <col min="10514" max="10514" width="8.5703125" style="117" customWidth="1"/>
    <col min="10515" max="10515" width="12.42578125" style="117" customWidth="1"/>
    <col min="10516" max="10516" width="10.85546875" style="117" customWidth="1"/>
    <col min="10517" max="10517" width="7.5703125" style="117" customWidth="1"/>
    <col min="10518" max="10518" width="9.140625" style="117"/>
    <col min="10519" max="10521" width="0" style="117" hidden="1" customWidth="1"/>
    <col min="10522" max="10522" width="9.28515625" style="117" customWidth="1"/>
    <col min="10523" max="10523" width="8" style="117" customWidth="1"/>
    <col min="10524" max="10524" width="9.5703125" style="117" customWidth="1"/>
    <col min="10525" max="10526" width="8.7109375" style="117" customWidth="1"/>
    <col min="10527" max="10764" width="9.140625" style="117"/>
    <col min="10765" max="10765" width="9.7109375" style="117" customWidth="1"/>
    <col min="10766" max="10767" width="9.140625" style="117"/>
    <col min="10768" max="10769" width="7.42578125" style="117" customWidth="1"/>
    <col min="10770" max="10770" width="8.5703125" style="117" customWidth="1"/>
    <col min="10771" max="10771" width="12.42578125" style="117" customWidth="1"/>
    <col min="10772" max="10772" width="10.85546875" style="117" customWidth="1"/>
    <col min="10773" max="10773" width="7.5703125" style="117" customWidth="1"/>
    <col min="10774" max="10774" width="9.140625" style="117"/>
    <col min="10775" max="10777" width="0" style="117" hidden="1" customWidth="1"/>
    <col min="10778" max="10778" width="9.28515625" style="117" customWidth="1"/>
    <col min="10779" max="10779" width="8" style="117" customWidth="1"/>
    <col min="10780" max="10780" width="9.5703125" style="117" customWidth="1"/>
    <col min="10781" max="10782" width="8.7109375" style="117" customWidth="1"/>
    <col min="10783" max="11020" width="9.140625" style="117"/>
    <col min="11021" max="11021" width="9.7109375" style="117" customWidth="1"/>
    <col min="11022" max="11023" width="9.140625" style="117"/>
    <col min="11024" max="11025" width="7.42578125" style="117" customWidth="1"/>
    <col min="11026" max="11026" width="8.5703125" style="117" customWidth="1"/>
    <col min="11027" max="11027" width="12.42578125" style="117" customWidth="1"/>
    <col min="11028" max="11028" width="10.85546875" style="117" customWidth="1"/>
    <col min="11029" max="11029" width="7.5703125" style="117" customWidth="1"/>
    <col min="11030" max="11030" width="9.140625" style="117"/>
    <col min="11031" max="11033" width="0" style="117" hidden="1" customWidth="1"/>
    <col min="11034" max="11034" width="9.28515625" style="117" customWidth="1"/>
    <col min="11035" max="11035" width="8" style="117" customWidth="1"/>
    <col min="11036" max="11036" width="9.5703125" style="117" customWidth="1"/>
    <col min="11037" max="11038" width="8.7109375" style="117" customWidth="1"/>
    <col min="11039" max="11276" width="9.140625" style="117"/>
    <col min="11277" max="11277" width="9.7109375" style="117" customWidth="1"/>
    <col min="11278" max="11279" width="9.140625" style="117"/>
    <col min="11280" max="11281" width="7.42578125" style="117" customWidth="1"/>
    <col min="11282" max="11282" width="8.5703125" style="117" customWidth="1"/>
    <col min="11283" max="11283" width="12.42578125" style="117" customWidth="1"/>
    <col min="11284" max="11284" width="10.85546875" style="117" customWidth="1"/>
    <col min="11285" max="11285" width="7.5703125" style="117" customWidth="1"/>
    <col min="11286" max="11286" width="9.140625" style="117"/>
    <col min="11287" max="11289" width="0" style="117" hidden="1" customWidth="1"/>
    <col min="11290" max="11290" width="9.28515625" style="117" customWidth="1"/>
    <col min="11291" max="11291" width="8" style="117" customWidth="1"/>
    <col min="11292" max="11292" width="9.5703125" style="117" customWidth="1"/>
    <col min="11293" max="11294" width="8.7109375" style="117" customWidth="1"/>
    <col min="11295" max="11532" width="9.140625" style="117"/>
    <col min="11533" max="11533" width="9.7109375" style="117" customWidth="1"/>
    <col min="11534" max="11535" width="9.140625" style="117"/>
    <col min="11536" max="11537" width="7.42578125" style="117" customWidth="1"/>
    <col min="11538" max="11538" width="8.5703125" style="117" customWidth="1"/>
    <col min="11539" max="11539" width="12.42578125" style="117" customWidth="1"/>
    <col min="11540" max="11540" width="10.85546875" style="117" customWidth="1"/>
    <col min="11541" max="11541" width="7.5703125" style="117" customWidth="1"/>
    <col min="11542" max="11542" width="9.140625" style="117"/>
    <col min="11543" max="11545" width="0" style="117" hidden="1" customWidth="1"/>
    <col min="11546" max="11546" width="9.28515625" style="117" customWidth="1"/>
    <col min="11547" max="11547" width="8" style="117" customWidth="1"/>
    <col min="11548" max="11548" width="9.5703125" style="117" customWidth="1"/>
    <col min="11549" max="11550" width="8.7109375" style="117" customWidth="1"/>
    <col min="11551" max="11788" width="9.140625" style="117"/>
    <col min="11789" max="11789" width="9.7109375" style="117" customWidth="1"/>
    <col min="11790" max="11791" width="9.140625" style="117"/>
    <col min="11792" max="11793" width="7.42578125" style="117" customWidth="1"/>
    <col min="11794" max="11794" width="8.5703125" style="117" customWidth="1"/>
    <col min="11795" max="11795" width="12.42578125" style="117" customWidth="1"/>
    <col min="11796" max="11796" width="10.85546875" style="117" customWidth="1"/>
    <col min="11797" max="11797" width="7.5703125" style="117" customWidth="1"/>
    <col min="11798" max="11798" width="9.140625" style="117"/>
    <col min="11799" max="11801" width="0" style="117" hidden="1" customWidth="1"/>
    <col min="11802" max="11802" width="9.28515625" style="117" customWidth="1"/>
    <col min="11803" max="11803" width="8" style="117" customWidth="1"/>
    <col min="11804" max="11804" width="9.5703125" style="117" customWidth="1"/>
    <col min="11805" max="11806" width="8.7109375" style="117" customWidth="1"/>
    <col min="11807" max="12044" width="9.140625" style="117"/>
    <col min="12045" max="12045" width="9.7109375" style="117" customWidth="1"/>
    <col min="12046" max="12047" width="9.140625" style="117"/>
    <col min="12048" max="12049" width="7.42578125" style="117" customWidth="1"/>
    <col min="12050" max="12050" width="8.5703125" style="117" customWidth="1"/>
    <col min="12051" max="12051" width="12.42578125" style="117" customWidth="1"/>
    <col min="12052" max="12052" width="10.85546875" style="117" customWidth="1"/>
    <col min="12053" max="12053" width="7.5703125" style="117" customWidth="1"/>
    <col min="12054" max="12054" width="9.140625" style="117"/>
    <col min="12055" max="12057" width="0" style="117" hidden="1" customWidth="1"/>
    <col min="12058" max="12058" width="9.28515625" style="117" customWidth="1"/>
    <col min="12059" max="12059" width="8" style="117" customWidth="1"/>
    <col min="12060" max="12060" width="9.5703125" style="117" customWidth="1"/>
    <col min="12061" max="12062" width="8.7109375" style="117" customWidth="1"/>
    <col min="12063" max="12300" width="9.140625" style="117"/>
    <col min="12301" max="12301" width="9.7109375" style="117" customWidth="1"/>
    <col min="12302" max="12303" width="9.140625" style="117"/>
    <col min="12304" max="12305" width="7.42578125" style="117" customWidth="1"/>
    <col min="12306" max="12306" width="8.5703125" style="117" customWidth="1"/>
    <col min="12307" max="12307" width="12.42578125" style="117" customWidth="1"/>
    <col min="12308" max="12308" width="10.85546875" style="117" customWidth="1"/>
    <col min="12309" max="12309" width="7.5703125" style="117" customWidth="1"/>
    <col min="12310" max="12310" width="9.140625" style="117"/>
    <col min="12311" max="12313" width="0" style="117" hidden="1" customWidth="1"/>
    <col min="12314" max="12314" width="9.28515625" style="117" customWidth="1"/>
    <col min="12315" max="12315" width="8" style="117" customWidth="1"/>
    <col min="12316" max="12316" width="9.5703125" style="117" customWidth="1"/>
    <col min="12317" max="12318" width="8.7109375" style="117" customWidth="1"/>
    <col min="12319" max="12556" width="9.140625" style="117"/>
    <col min="12557" max="12557" width="9.7109375" style="117" customWidth="1"/>
    <col min="12558" max="12559" width="9.140625" style="117"/>
    <col min="12560" max="12561" width="7.42578125" style="117" customWidth="1"/>
    <col min="12562" max="12562" width="8.5703125" style="117" customWidth="1"/>
    <col min="12563" max="12563" width="12.42578125" style="117" customWidth="1"/>
    <col min="12564" max="12564" width="10.85546875" style="117" customWidth="1"/>
    <col min="12565" max="12565" width="7.5703125" style="117" customWidth="1"/>
    <col min="12566" max="12566" width="9.140625" style="117"/>
    <col min="12567" max="12569" width="0" style="117" hidden="1" customWidth="1"/>
    <col min="12570" max="12570" width="9.28515625" style="117" customWidth="1"/>
    <col min="12571" max="12571" width="8" style="117" customWidth="1"/>
    <col min="12572" max="12572" width="9.5703125" style="117" customWidth="1"/>
    <col min="12573" max="12574" width="8.7109375" style="117" customWidth="1"/>
    <col min="12575" max="12812" width="9.140625" style="117"/>
    <col min="12813" max="12813" width="9.7109375" style="117" customWidth="1"/>
    <col min="12814" max="12815" width="9.140625" style="117"/>
    <col min="12816" max="12817" width="7.42578125" style="117" customWidth="1"/>
    <col min="12818" max="12818" width="8.5703125" style="117" customWidth="1"/>
    <col min="12819" max="12819" width="12.42578125" style="117" customWidth="1"/>
    <col min="12820" max="12820" width="10.85546875" style="117" customWidth="1"/>
    <col min="12821" max="12821" width="7.5703125" style="117" customWidth="1"/>
    <col min="12822" max="12822" width="9.140625" style="117"/>
    <col min="12823" max="12825" width="0" style="117" hidden="1" customWidth="1"/>
    <col min="12826" max="12826" width="9.28515625" style="117" customWidth="1"/>
    <col min="12827" max="12827" width="8" style="117" customWidth="1"/>
    <col min="12828" max="12828" width="9.5703125" style="117" customWidth="1"/>
    <col min="12829" max="12830" width="8.7109375" style="117" customWidth="1"/>
    <col min="12831" max="13068" width="9.140625" style="117"/>
    <col min="13069" max="13069" width="9.7109375" style="117" customWidth="1"/>
    <col min="13070" max="13071" width="9.140625" style="117"/>
    <col min="13072" max="13073" width="7.42578125" style="117" customWidth="1"/>
    <col min="13074" max="13074" width="8.5703125" style="117" customWidth="1"/>
    <col min="13075" max="13075" width="12.42578125" style="117" customWidth="1"/>
    <col min="13076" max="13076" width="10.85546875" style="117" customWidth="1"/>
    <col min="13077" max="13077" width="7.5703125" style="117" customWidth="1"/>
    <col min="13078" max="13078" width="9.140625" style="117"/>
    <col min="13079" max="13081" width="0" style="117" hidden="1" customWidth="1"/>
    <col min="13082" max="13082" width="9.28515625" style="117" customWidth="1"/>
    <col min="13083" max="13083" width="8" style="117" customWidth="1"/>
    <col min="13084" max="13084" width="9.5703125" style="117" customWidth="1"/>
    <col min="13085" max="13086" width="8.7109375" style="117" customWidth="1"/>
    <col min="13087" max="13324" width="9.140625" style="117"/>
    <col min="13325" max="13325" width="9.7109375" style="117" customWidth="1"/>
    <col min="13326" max="13327" width="9.140625" style="117"/>
    <col min="13328" max="13329" width="7.42578125" style="117" customWidth="1"/>
    <col min="13330" max="13330" width="8.5703125" style="117" customWidth="1"/>
    <col min="13331" max="13331" width="12.42578125" style="117" customWidth="1"/>
    <col min="13332" max="13332" width="10.85546875" style="117" customWidth="1"/>
    <col min="13333" max="13333" width="7.5703125" style="117" customWidth="1"/>
    <col min="13334" max="13334" width="9.140625" style="117"/>
    <col min="13335" max="13337" width="0" style="117" hidden="1" customWidth="1"/>
    <col min="13338" max="13338" width="9.28515625" style="117" customWidth="1"/>
    <col min="13339" max="13339" width="8" style="117" customWidth="1"/>
    <col min="13340" max="13340" width="9.5703125" style="117" customWidth="1"/>
    <col min="13341" max="13342" width="8.7109375" style="117" customWidth="1"/>
    <col min="13343" max="13580" width="9.140625" style="117"/>
    <col min="13581" max="13581" width="9.7109375" style="117" customWidth="1"/>
    <col min="13582" max="13583" width="9.140625" style="117"/>
    <col min="13584" max="13585" width="7.42578125" style="117" customWidth="1"/>
    <col min="13586" max="13586" width="8.5703125" style="117" customWidth="1"/>
    <col min="13587" max="13587" width="12.42578125" style="117" customWidth="1"/>
    <col min="13588" max="13588" width="10.85546875" style="117" customWidth="1"/>
    <col min="13589" max="13589" width="7.5703125" style="117" customWidth="1"/>
    <col min="13590" max="13590" width="9.140625" style="117"/>
    <col min="13591" max="13593" width="0" style="117" hidden="1" customWidth="1"/>
    <col min="13594" max="13594" width="9.28515625" style="117" customWidth="1"/>
    <col min="13595" max="13595" width="8" style="117" customWidth="1"/>
    <col min="13596" max="13596" width="9.5703125" style="117" customWidth="1"/>
    <col min="13597" max="13598" width="8.7109375" style="117" customWidth="1"/>
    <col min="13599" max="13836" width="9.140625" style="117"/>
    <col min="13837" max="13837" width="9.7109375" style="117" customWidth="1"/>
    <col min="13838" max="13839" width="9.140625" style="117"/>
    <col min="13840" max="13841" width="7.42578125" style="117" customWidth="1"/>
    <col min="13842" max="13842" width="8.5703125" style="117" customWidth="1"/>
    <col min="13843" max="13843" width="12.42578125" style="117" customWidth="1"/>
    <col min="13844" max="13844" width="10.85546875" style="117" customWidth="1"/>
    <col min="13845" max="13845" width="7.5703125" style="117" customWidth="1"/>
    <col min="13846" max="13846" width="9.140625" style="117"/>
    <col min="13847" max="13849" width="0" style="117" hidden="1" customWidth="1"/>
    <col min="13850" max="13850" width="9.28515625" style="117" customWidth="1"/>
    <col min="13851" max="13851" width="8" style="117" customWidth="1"/>
    <col min="13852" max="13852" width="9.5703125" style="117" customWidth="1"/>
    <col min="13853" max="13854" width="8.7109375" style="117" customWidth="1"/>
    <col min="13855" max="14092" width="9.140625" style="117"/>
    <col min="14093" max="14093" width="9.7109375" style="117" customWidth="1"/>
    <col min="14094" max="14095" width="9.140625" style="117"/>
    <col min="14096" max="14097" width="7.42578125" style="117" customWidth="1"/>
    <col min="14098" max="14098" width="8.5703125" style="117" customWidth="1"/>
    <col min="14099" max="14099" width="12.42578125" style="117" customWidth="1"/>
    <col min="14100" max="14100" width="10.85546875" style="117" customWidth="1"/>
    <col min="14101" max="14101" width="7.5703125" style="117" customWidth="1"/>
    <col min="14102" max="14102" width="9.140625" style="117"/>
    <col min="14103" max="14105" width="0" style="117" hidden="1" customWidth="1"/>
    <col min="14106" max="14106" width="9.28515625" style="117" customWidth="1"/>
    <col min="14107" max="14107" width="8" style="117" customWidth="1"/>
    <col min="14108" max="14108" width="9.5703125" style="117" customWidth="1"/>
    <col min="14109" max="14110" width="8.7109375" style="117" customWidth="1"/>
    <col min="14111" max="14348" width="9.140625" style="117"/>
    <col min="14349" max="14349" width="9.7109375" style="117" customWidth="1"/>
    <col min="14350" max="14351" width="9.140625" style="117"/>
    <col min="14352" max="14353" width="7.42578125" style="117" customWidth="1"/>
    <col min="14354" max="14354" width="8.5703125" style="117" customWidth="1"/>
    <col min="14355" max="14355" width="12.42578125" style="117" customWidth="1"/>
    <col min="14356" max="14356" width="10.85546875" style="117" customWidth="1"/>
    <col min="14357" max="14357" width="7.5703125" style="117" customWidth="1"/>
    <col min="14358" max="14358" width="9.140625" style="117"/>
    <col min="14359" max="14361" width="0" style="117" hidden="1" customWidth="1"/>
    <col min="14362" max="14362" width="9.28515625" style="117" customWidth="1"/>
    <col min="14363" max="14363" width="8" style="117" customWidth="1"/>
    <col min="14364" max="14364" width="9.5703125" style="117" customWidth="1"/>
    <col min="14365" max="14366" width="8.7109375" style="117" customWidth="1"/>
    <col min="14367" max="14604" width="9.140625" style="117"/>
    <col min="14605" max="14605" width="9.7109375" style="117" customWidth="1"/>
    <col min="14606" max="14607" width="9.140625" style="117"/>
    <col min="14608" max="14609" width="7.42578125" style="117" customWidth="1"/>
    <col min="14610" max="14610" width="8.5703125" style="117" customWidth="1"/>
    <col min="14611" max="14611" width="12.42578125" style="117" customWidth="1"/>
    <col min="14612" max="14612" width="10.85546875" style="117" customWidth="1"/>
    <col min="14613" max="14613" width="7.5703125" style="117" customWidth="1"/>
    <col min="14614" max="14614" width="9.140625" style="117"/>
    <col min="14615" max="14617" width="0" style="117" hidden="1" customWidth="1"/>
    <col min="14618" max="14618" width="9.28515625" style="117" customWidth="1"/>
    <col min="14619" max="14619" width="8" style="117" customWidth="1"/>
    <col min="14620" max="14620" width="9.5703125" style="117" customWidth="1"/>
    <col min="14621" max="14622" width="8.7109375" style="117" customWidth="1"/>
    <col min="14623" max="14860" width="9.140625" style="117"/>
    <col min="14861" max="14861" width="9.7109375" style="117" customWidth="1"/>
    <col min="14862" max="14863" width="9.140625" style="117"/>
    <col min="14864" max="14865" width="7.42578125" style="117" customWidth="1"/>
    <col min="14866" max="14866" width="8.5703125" style="117" customWidth="1"/>
    <col min="14867" max="14867" width="12.42578125" style="117" customWidth="1"/>
    <col min="14868" max="14868" width="10.85546875" style="117" customWidth="1"/>
    <col min="14869" max="14869" width="7.5703125" style="117" customWidth="1"/>
    <col min="14870" max="14870" width="9.140625" style="117"/>
    <col min="14871" max="14873" width="0" style="117" hidden="1" customWidth="1"/>
    <col min="14874" max="14874" width="9.28515625" style="117" customWidth="1"/>
    <col min="14875" max="14875" width="8" style="117" customWidth="1"/>
    <col min="14876" max="14876" width="9.5703125" style="117" customWidth="1"/>
    <col min="14877" max="14878" width="8.7109375" style="117" customWidth="1"/>
    <col min="14879" max="15116" width="9.140625" style="117"/>
    <col min="15117" max="15117" width="9.7109375" style="117" customWidth="1"/>
    <col min="15118" max="15119" width="9.140625" style="117"/>
    <col min="15120" max="15121" width="7.42578125" style="117" customWidth="1"/>
    <col min="15122" max="15122" width="8.5703125" style="117" customWidth="1"/>
    <col min="15123" max="15123" width="12.42578125" style="117" customWidth="1"/>
    <col min="15124" max="15124" width="10.85546875" style="117" customWidth="1"/>
    <col min="15125" max="15125" width="7.5703125" style="117" customWidth="1"/>
    <col min="15126" max="15126" width="9.140625" style="117"/>
    <col min="15127" max="15129" width="0" style="117" hidden="1" customWidth="1"/>
    <col min="15130" max="15130" width="9.28515625" style="117" customWidth="1"/>
    <col min="15131" max="15131" width="8" style="117" customWidth="1"/>
    <col min="15132" max="15132" width="9.5703125" style="117" customWidth="1"/>
    <col min="15133" max="15134" width="8.7109375" style="117" customWidth="1"/>
    <col min="15135" max="15372" width="9.140625" style="117"/>
    <col min="15373" max="15373" width="9.7109375" style="117" customWidth="1"/>
    <col min="15374" max="15375" width="9.140625" style="117"/>
    <col min="15376" max="15377" width="7.42578125" style="117" customWidth="1"/>
    <col min="15378" max="15378" width="8.5703125" style="117" customWidth="1"/>
    <col min="15379" max="15379" width="12.42578125" style="117" customWidth="1"/>
    <col min="15380" max="15380" width="10.85546875" style="117" customWidth="1"/>
    <col min="15381" max="15381" width="7.5703125" style="117" customWidth="1"/>
    <col min="15382" max="15382" width="9.140625" style="117"/>
    <col min="15383" max="15385" width="0" style="117" hidden="1" customWidth="1"/>
    <col min="15386" max="15386" width="9.28515625" style="117" customWidth="1"/>
    <col min="15387" max="15387" width="8" style="117" customWidth="1"/>
    <col min="15388" max="15388" width="9.5703125" style="117" customWidth="1"/>
    <col min="15389" max="15390" width="8.7109375" style="117" customWidth="1"/>
    <col min="15391" max="15628" width="9.140625" style="117"/>
    <col min="15629" max="15629" width="9.7109375" style="117" customWidth="1"/>
    <col min="15630" max="15631" width="9.140625" style="117"/>
    <col min="15632" max="15633" width="7.42578125" style="117" customWidth="1"/>
    <col min="15634" max="15634" width="8.5703125" style="117" customWidth="1"/>
    <col min="15635" max="15635" width="12.42578125" style="117" customWidth="1"/>
    <col min="15636" max="15636" width="10.85546875" style="117" customWidth="1"/>
    <col min="15637" max="15637" width="7.5703125" style="117" customWidth="1"/>
    <col min="15638" max="15638" width="9.140625" style="117"/>
    <col min="15639" max="15641" width="0" style="117" hidden="1" customWidth="1"/>
    <col min="15642" max="15642" width="9.28515625" style="117" customWidth="1"/>
    <col min="15643" max="15643" width="8" style="117" customWidth="1"/>
    <col min="15644" max="15644" width="9.5703125" style="117" customWidth="1"/>
    <col min="15645" max="15646" width="8.7109375" style="117" customWidth="1"/>
    <col min="15647" max="15884" width="9.140625" style="117"/>
    <col min="15885" max="15885" width="9.7109375" style="117" customWidth="1"/>
    <col min="15886" max="15887" width="9.140625" style="117"/>
    <col min="15888" max="15889" width="7.42578125" style="117" customWidth="1"/>
    <col min="15890" max="15890" width="8.5703125" style="117" customWidth="1"/>
    <col min="15891" max="15891" width="12.42578125" style="117" customWidth="1"/>
    <col min="15892" max="15892" width="10.85546875" style="117" customWidth="1"/>
    <col min="15893" max="15893" width="7.5703125" style="117" customWidth="1"/>
    <col min="15894" max="15894" width="9.140625" style="117"/>
    <col min="15895" max="15897" width="0" style="117" hidden="1" customWidth="1"/>
    <col min="15898" max="15898" width="9.28515625" style="117" customWidth="1"/>
    <col min="15899" max="15899" width="8" style="117" customWidth="1"/>
    <col min="15900" max="15900" width="9.5703125" style="117" customWidth="1"/>
    <col min="15901" max="15902" width="8.7109375" style="117" customWidth="1"/>
    <col min="15903" max="16140" width="9.140625" style="117"/>
    <col min="16141" max="16141" width="9.7109375" style="117" customWidth="1"/>
    <col min="16142" max="16143" width="9.140625" style="117"/>
    <col min="16144" max="16145" width="7.42578125" style="117" customWidth="1"/>
    <col min="16146" max="16146" width="8.5703125" style="117" customWidth="1"/>
    <col min="16147" max="16147" width="12.42578125" style="117" customWidth="1"/>
    <col min="16148" max="16148" width="10.85546875" style="117" customWidth="1"/>
    <col min="16149" max="16149" width="7.5703125" style="117" customWidth="1"/>
    <col min="16150" max="16150" width="9.140625" style="117"/>
    <col min="16151" max="16153" width="0" style="117" hidden="1" customWidth="1"/>
    <col min="16154" max="16154" width="9.28515625" style="117" customWidth="1"/>
    <col min="16155" max="16155" width="8" style="117" customWidth="1"/>
    <col min="16156" max="16156" width="9.5703125" style="117" customWidth="1"/>
    <col min="16157" max="16158" width="8.7109375" style="117" customWidth="1"/>
    <col min="16159" max="16384" width="9.140625" style="117"/>
  </cols>
  <sheetData>
    <row r="1" spans="2:31" ht="16.5" customHeight="1" x14ac:dyDescent="0.2"/>
    <row r="2" spans="2:31" ht="15" x14ac:dyDescent="0.2">
      <c r="B2" s="131" t="s">
        <v>131</v>
      </c>
      <c r="C2" s="171">
        <v>3.7776999999999998</v>
      </c>
      <c r="E2" s="117"/>
      <c r="F2" s="385" t="s">
        <v>101</v>
      </c>
      <c r="G2" s="385"/>
      <c r="H2" s="117"/>
      <c r="I2" s="117"/>
      <c r="AA2" s="329"/>
      <c r="AB2" s="330"/>
      <c r="AC2" s="337" t="str">
        <f>+IF(modeRF1,"RF1 shift after calibration=","")</f>
        <v>RF1 shift after calibration=</v>
      </c>
      <c r="AD2" s="335">
        <f>+IF(modeRF1,new_RF_shift1,"")</f>
        <v>0</v>
      </c>
      <c r="AE2" s="326" t="str">
        <f>+IF(modeRF1,"ch","")</f>
        <v>ch</v>
      </c>
    </row>
    <row r="3" spans="2:31" ht="15" x14ac:dyDescent="0.2">
      <c r="B3" s="132" t="s">
        <v>129</v>
      </c>
      <c r="C3" s="333">
        <v>3.65</v>
      </c>
      <c r="I3" s="117"/>
      <c r="J3" s="117"/>
      <c r="K3" s="117"/>
      <c r="AA3" s="331"/>
      <c r="AB3" s="332"/>
      <c r="AC3" s="338" t="str">
        <f>+IF(modeRF2,"RF2 shift after calibration=","")</f>
        <v/>
      </c>
      <c r="AD3" s="336" t="str">
        <f>+IF(modeRF2,new_RF_shift2,"")</f>
        <v/>
      </c>
      <c r="AE3" s="328" t="str">
        <f>+IF(modeRF2,"ch","")</f>
        <v/>
      </c>
    </row>
    <row r="4" spans="2:31" x14ac:dyDescent="0.2">
      <c r="B4" s="125"/>
      <c r="C4" s="125"/>
      <c r="J4" s="125"/>
      <c r="K4" s="125"/>
      <c r="W4" s="125"/>
      <c r="X4" s="125"/>
      <c r="Y4" s="125"/>
      <c r="Z4" s="125"/>
      <c r="AA4" s="125"/>
      <c r="AB4" s="125"/>
    </row>
    <row r="5" spans="2:31" ht="18" customHeight="1" x14ac:dyDescent="0.2">
      <c r="B5" s="133"/>
      <c r="C5" s="405" t="s">
        <v>114</v>
      </c>
      <c r="D5" s="406"/>
      <c r="E5" s="407"/>
      <c r="F5" s="400" t="s">
        <v>115</v>
      </c>
      <c r="G5" s="408"/>
      <c r="H5" s="408"/>
      <c r="I5" s="401"/>
      <c r="J5" s="125"/>
      <c r="K5" s="125"/>
      <c r="W5" s="125"/>
      <c r="X5" s="125"/>
      <c r="Y5" s="125"/>
      <c r="Z5" s="125"/>
      <c r="AA5" s="125"/>
      <c r="AB5" s="125"/>
    </row>
    <row r="6" spans="2:31" s="120" customFormat="1" ht="18" customHeight="1" x14ac:dyDescent="0.2">
      <c r="B6" s="134"/>
      <c r="C6" s="135" t="s">
        <v>108</v>
      </c>
      <c r="D6" s="136" t="s">
        <v>110</v>
      </c>
      <c r="E6" s="137" t="s">
        <v>109</v>
      </c>
      <c r="F6" s="138" t="s">
        <v>112</v>
      </c>
      <c r="G6" s="139" t="s">
        <v>111</v>
      </c>
      <c r="H6" s="139" t="s">
        <v>109</v>
      </c>
      <c r="I6" s="140" t="s">
        <v>108</v>
      </c>
      <c r="J6" s="396" t="s">
        <v>113</v>
      </c>
      <c r="K6" s="397"/>
      <c r="L6" s="141" t="s">
        <v>148</v>
      </c>
      <c r="M6" s="141" t="s">
        <v>147</v>
      </c>
      <c r="N6" s="141" t="s">
        <v>146</v>
      </c>
      <c r="O6" s="141" t="s">
        <v>145</v>
      </c>
      <c r="P6" s="141" t="s">
        <v>144</v>
      </c>
      <c r="Q6" s="141" t="s">
        <v>143</v>
      </c>
      <c r="R6" s="141" t="s">
        <v>142</v>
      </c>
      <c r="S6" s="141" t="s">
        <v>141</v>
      </c>
      <c r="T6" s="141" t="s">
        <v>140</v>
      </c>
      <c r="U6" s="141" t="s">
        <v>139</v>
      </c>
      <c r="V6" s="141" t="s">
        <v>42</v>
      </c>
      <c r="W6" s="141" t="s">
        <v>38</v>
      </c>
      <c r="X6" s="141" t="s">
        <v>138</v>
      </c>
      <c r="Y6" s="141" t="s">
        <v>41</v>
      </c>
      <c r="Z6" s="141" t="s">
        <v>137</v>
      </c>
      <c r="AA6" s="211" t="s">
        <v>7</v>
      </c>
      <c r="AB6" s="212" t="s">
        <v>136</v>
      </c>
      <c r="AC6" s="339" t="s">
        <v>135</v>
      </c>
      <c r="AD6" s="340" t="s">
        <v>134</v>
      </c>
    </row>
    <row r="7" spans="2:31" ht="16.5" customHeight="1" x14ac:dyDescent="0.2">
      <c r="B7" s="143" t="s">
        <v>107</v>
      </c>
      <c r="C7" s="334">
        <v>29.08</v>
      </c>
      <c r="D7" s="144">
        <v>12</v>
      </c>
      <c r="E7" s="145">
        <f t="shared" ref="E7:E12" si="0">2^D7</f>
        <v>4096</v>
      </c>
      <c r="F7" s="146">
        <v>0</v>
      </c>
      <c r="G7" s="144">
        <v>4095</v>
      </c>
      <c r="H7" s="147">
        <f>+G7-F7+1</f>
        <v>4096</v>
      </c>
      <c r="I7" s="148">
        <f>+IF(ISNUMBER(C7),(C7+new_RF_shift1)/E7*H7+F7,"")</f>
        <v>29.08</v>
      </c>
      <c r="J7" s="149">
        <f>IF(AND(ISNUMBER(C7),modeRF1),a_tof*I7+b_tof,"")</f>
        <v>268.14142040234526</v>
      </c>
      <c r="K7" s="161" t="s">
        <v>54</v>
      </c>
      <c r="L7" s="150">
        <f>+(length1+length2*Brho1/Brho2)/J7/c_speed</f>
        <v>0.4492177269737021</v>
      </c>
      <c r="M7" s="150">
        <f>+(length1*Brho2/Brho1+length2)/$J7/c_speed</f>
        <v>0.4340325339370551</v>
      </c>
      <c r="N7" s="150">
        <f>+[1]!Beta2Gamma(L7)</f>
        <v>1.1192914959578109</v>
      </c>
      <c r="O7" s="150">
        <f>+[1]!Beta2Gamma(M7)</f>
        <v>1.1100045636485907</v>
      </c>
      <c r="P7" s="150">
        <f>+(length1+length2*Brho1/Brho2*O7/N7)/J7/c_speed</f>
        <v>0.44729540433025927</v>
      </c>
      <c r="Q7" s="150">
        <f>+(length1*Brho2/Brho1*N7/O7+length2)/$J7/c_speed</f>
        <v>0.43579101734910036</v>
      </c>
      <c r="R7" s="150">
        <f>+[1]!Beta2Gamma(P7)</f>
        <v>1.1180851274538897</v>
      </c>
      <c r="S7" s="150">
        <f>+[1]!Beta2Gamma(Q7)</f>
        <v>1.1110520011521721</v>
      </c>
      <c r="T7" s="150">
        <f>+(length1+length2*Brho1/Brho2*S7/R7)/$J7/c_speed</f>
        <v>0.44776035386512114</v>
      </c>
      <c r="U7" s="150">
        <f>+(length1*Brho2/Brho1*R7/S7+length2)/$J7/c_speed</f>
        <v>0.43536300303186148</v>
      </c>
      <c r="V7" s="150">
        <f>+U7</f>
        <v>0.43536300303186148</v>
      </c>
      <c r="W7" s="151">
        <f>+V7*V7</f>
        <v>0.18954094440892064</v>
      </c>
      <c r="X7" s="151">
        <f>-1+LN(5930/(1/W7-1))/W7</f>
        <v>37.170031065261917</v>
      </c>
      <c r="Y7" s="151">
        <f>+IF(ISNUMBER($J7),[1]!Beta2Gamma(V7),"")</f>
        <v>1.110796391933518</v>
      </c>
      <c r="Z7" s="151">
        <f>+IF(ISNUMBER($J7),Brho2/3.1071/V7/Y7,"")</f>
        <v>2.4291350079985108</v>
      </c>
      <c r="AA7" s="302">
        <f>+IF(AND(modeZ,ISNUMBER($J$11),ISNUMBER($J7)),a_z*SQRT(J$11/X7)+b_z,"")</f>
        <v>21.002824341787562</v>
      </c>
      <c r="AB7" s="287">
        <f>+IF(ISNUMBER(AA7),AA7*Z7,"")</f>
        <v>51.018695875479445</v>
      </c>
      <c r="AC7" s="341" t="str">
        <f>+IF(ISNUMBER(TKE),TKE/(Y7-1)/Z7/aem,"")</f>
        <v/>
      </c>
      <c r="AD7" s="342" t="str">
        <f>+IF(AND(ISNUMBER(Z7),ISNUMBER(TKE)),AC7*Z7,"")</f>
        <v/>
      </c>
    </row>
    <row r="8" spans="2:31" ht="16.5" customHeight="1" x14ac:dyDescent="0.2">
      <c r="B8" s="152" t="s">
        <v>106</v>
      </c>
      <c r="C8" s="251"/>
      <c r="D8" s="153">
        <v>12</v>
      </c>
      <c r="E8" s="154">
        <f t="shared" si="0"/>
        <v>4096</v>
      </c>
      <c r="F8" s="155">
        <v>0</v>
      </c>
      <c r="G8" s="153">
        <v>4095</v>
      </c>
      <c r="H8" s="156">
        <f>+G8-F8+1</f>
        <v>4096</v>
      </c>
      <c r="I8" s="157" t="str">
        <f>+IF(ISNUMBER(C8),(C8+new_RF_shift1)/E8*H8+F8,"")</f>
        <v/>
      </c>
      <c r="J8" s="149" t="str">
        <f>IF(AND(ISNUMBER(C8),modeRF1),a_tof*(I8-bunch_distance1)+b_tof,"")</f>
        <v/>
      </c>
      <c r="K8" s="161" t="s">
        <v>54</v>
      </c>
      <c r="L8" s="150" t="e">
        <f>+(length1+length2*Brho1/Brho2)/J8/c_speed</f>
        <v>#VALUE!</v>
      </c>
      <c r="M8" s="150" t="e">
        <f>+(length1*Brho2/Brho1+length2)/$J8/c_speed</f>
        <v>#VALUE!</v>
      </c>
      <c r="N8" s="150" t="e">
        <f>+[1]!Beta2Gamma(L8)</f>
        <v>#VALUE!</v>
      </c>
      <c r="O8" s="150" t="e">
        <f>+[1]!Beta2Gamma(M8)</f>
        <v>#VALUE!</v>
      </c>
      <c r="P8" s="150" t="e">
        <f>+(length1+length2*Brho1/Brho2*O8/N8)/J8/c_speed</f>
        <v>#VALUE!</v>
      </c>
      <c r="Q8" s="150" t="e">
        <f>+(length1*Brho2/Brho1*N8/O8+length2)/$J8/c_speed</f>
        <v>#VALUE!</v>
      </c>
      <c r="R8" s="150" t="e">
        <f>+[1]!Beta2Gamma(P8)</f>
        <v>#VALUE!</v>
      </c>
      <c r="S8" s="150" t="e">
        <f>+[1]!Beta2Gamma(Q8)</f>
        <v>#VALUE!</v>
      </c>
      <c r="T8" s="150" t="e">
        <f>+(length1+length2*Brho1/Brho2*S8/R8)/$J8/c_speed</f>
        <v>#VALUE!</v>
      </c>
      <c r="U8" s="150" t="e">
        <f>+(length1*Brho2/Brho1*R8/S8+length2)/$J8/c_speed</f>
        <v>#VALUE!</v>
      </c>
      <c r="V8" s="150" t="e">
        <f t="shared" ref="V8:V10" si="1">+U8</f>
        <v>#VALUE!</v>
      </c>
      <c r="W8" s="151" t="e">
        <f t="shared" ref="W8:W10" si="2">+V8*V8</f>
        <v>#VALUE!</v>
      </c>
      <c r="X8" s="151" t="e">
        <f t="shared" ref="X8:X10" si="3">-1+LN(5930/(1/W8-1))/W8</f>
        <v>#VALUE!</v>
      </c>
      <c r="Y8" s="151" t="str">
        <f>+IF(ISNUMBER($J8),[1]!Beta2Gamma(V8),"")</f>
        <v/>
      </c>
      <c r="Z8" s="151" t="str">
        <f>+IF(ISNUMBER($J8),Brho2/3.1071/V8/Y8,"")</f>
        <v/>
      </c>
      <c r="AA8" s="302" t="str">
        <f>+IF(AND(modeZ,ISNUMBER($J$11),ISNUMBER($J8)),a_z*SQRT(J$11/X8)+b_z,"")</f>
        <v/>
      </c>
      <c r="AB8" s="287" t="str">
        <f t="shared" ref="AB8:AB10" si="4">+IF(ISNUMBER(AA8),AA8*Z8,"")</f>
        <v/>
      </c>
      <c r="AC8" s="341" t="str">
        <f>+IF(ISNUMBER(TKE),TKE/(Y8-1)/Z8/aem,"")</f>
        <v/>
      </c>
      <c r="AD8" s="342" t="str">
        <f>+IF(AND(ISNUMBER(Z8),ISNUMBER(TKE)),AC8*Z8,"")</f>
        <v/>
      </c>
    </row>
    <row r="9" spans="2:31" ht="16.5" customHeight="1" x14ac:dyDescent="0.2">
      <c r="B9" s="152" t="s">
        <v>105</v>
      </c>
      <c r="C9" s="250"/>
      <c r="D9" s="144">
        <v>12</v>
      </c>
      <c r="E9" s="145">
        <f t="shared" si="0"/>
        <v>4096</v>
      </c>
      <c r="F9" s="146">
        <v>0</v>
      </c>
      <c r="G9" s="144">
        <v>4095</v>
      </c>
      <c r="H9" s="147">
        <f>+G9-F9+1</f>
        <v>4096</v>
      </c>
      <c r="I9" s="148" t="str">
        <f>+IF(ISNUMBER(C9),(C9+new_RF_shift2)/E9*H9+F9,"")</f>
        <v/>
      </c>
      <c r="J9" s="149" t="str">
        <f>IF(AND(ISNUMBER(C9),modeRF2),a_tof2*I9+b_tof2,"")</f>
        <v/>
      </c>
      <c r="K9" s="161" t="s">
        <v>54</v>
      </c>
      <c r="L9" s="150" t="e">
        <f>+(length1+length2*Brho1/Brho2)/J9/c_speed</f>
        <v>#VALUE!</v>
      </c>
      <c r="M9" s="150" t="e">
        <f>+(length1*Brho2/Brho1+length2)/$J9/c_speed</f>
        <v>#VALUE!</v>
      </c>
      <c r="N9" s="150" t="e">
        <f>+[1]!Beta2Gamma(L9)</f>
        <v>#VALUE!</v>
      </c>
      <c r="O9" s="150" t="e">
        <f>+[1]!Beta2Gamma(M9)</f>
        <v>#VALUE!</v>
      </c>
      <c r="P9" s="150" t="e">
        <f>+(length1+length2*Brho1/Brho2*O9/N9)/J9/c_speed</f>
        <v>#VALUE!</v>
      </c>
      <c r="Q9" s="150" t="e">
        <f>+(length1*Brho2/Brho1*N9/O9+length2)/$J9/c_speed</f>
        <v>#VALUE!</v>
      </c>
      <c r="R9" s="150" t="e">
        <f>+[1]!Beta2Gamma(P9)</f>
        <v>#VALUE!</v>
      </c>
      <c r="S9" s="150" t="e">
        <f>+[1]!Beta2Gamma(Q9)</f>
        <v>#VALUE!</v>
      </c>
      <c r="T9" s="150" t="e">
        <f>+(length1+length2*Brho1/Brho2*S9/R9)/$J9/c_speed</f>
        <v>#VALUE!</v>
      </c>
      <c r="U9" s="150" t="e">
        <f>+(length1*Brho2/Brho1*R9/S9+length2)/$J9/c_speed</f>
        <v>#VALUE!</v>
      </c>
      <c r="V9" s="150" t="e">
        <f t="shared" si="1"/>
        <v>#VALUE!</v>
      </c>
      <c r="W9" s="151" t="e">
        <f t="shared" si="2"/>
        <v>#VALUE!</v>
      </c>
      <c r="X9" s="151" t="e">
        <f t="shared" si="3"/>
        <v>#VALUE!</v>
      </c>
      <c r="Y9" s="151" t="str">
        <f>+IF(ISNUMBER($J9),[1]!Beta2Gamma(V9),"")</f>
        <v/>
      </c>
      <c r="Z9" s="151" t="str">
        <f>+IF(ISNUMBER($J9),Brho2/3.1071/V9/Y9,"")</f>
        <v/>
      </c>
      <c r="AA9" s="302" t="str">
        <f>+IF(AND(modeZ,ISNUMBER($J$11),ISNUMBER($J9)),a_z*SQRT(J$11/X9)+b_z,"")</f>
        <v/>
      </c>
      <c r="AB9" s="287" t="str">
        <f t="shared" si="4"/>
        <v/>
      </c>
      <c r="AC9" s="341" t="str">
        <f>+IF(ISNUMBER(TKE),TKE/(Y9-1)/Z9/aem,"")</f>
        <v/>
      </c>
      <c r="AD9" s="342" t="str">
        <f>+IF(AND(ISNUMBER(Z9),ISNUMBER(TKE)),AC9*Z9,"")</f>
        <v/>
      </c>
    </row>
    <row r="10" spans="2:31" ht="16.5" customHeight="1" x14ac:dyDescent="0.2">
      <c r="B10" s="152" t="s">
        <v>104</v>
      </c>
      <c r="C10" s="251"/>
      <c r="D10" s="153">
        <v>12</v>
      </c>
      <c r="E10" s="154">
        <f t="shared" si="0"/>
        <v>4096</v>
      </c>
      <c r="F10" s="155">
        <v>0</v>
      </c>
      <c r="G10" s="153">
        <v>4095</v>
      </c>
      <c r="H10" s="156">
        <f>+G10-F10+1</f>
        <v>4096</v>
      </c>
      <c r="I10" s="157" t="str">
        <f>+IF(ISNUMBER(C10),(C10+new_RF_shift2)/E10*H10+F10,"")</f>
        <v/>
      </c>
      <c r="J10" s="158" t="str">
        <f>IF(AND(ISNUMBER(C10),modeRF2),a_tof2*(I10-bunch_distance2)+b_tof2,"")</f>
        <v/>
      </c>
      <c r="K10" s="166" t="s">
        <v>54</v>
      </c>
      <c r="L10" s="159" t="e">
        <f>+(length1+length2*Brho1/Brho2)/J10/c_speed</f>
        <v>#VALUE!</v>
      </c>
      <c r="M10" s="159" t="e">
        <f>+(length1*Brho2/Brho1+length2)/$J10/c_speed</f>
        <v>#VALUE!</v>
      </c>
      <c r="N10" s="159" t="e">
        <f>+[1]!Beta2Gamma(L10)</f>
        <v>#VALUE!</v>
      </c>
      <c r="O10" s="159" t="e">
        <f>+[1]!Beta2Gamma(M10)</f>
        <v>#VALUE!</v>
      </c>
      <c r="P10" s="159" t="e">
        <f>+(length1+length2*Brho1/Brho2*O10/N10)/J10/c_speed</f>
        <v>#VALUE!</v>
      </c>
      <c r="Q10" s="159" t="e">
        <f>+(length1*Brho2/Brho1*N10/O10+length2)/$J10/c_speed</f>
        <v>#VALUE!</v>
      </c>
      <c r="R10" s="159" t="e">
        <f>+[1]!Beta2Gamma(P10)</f>
        <v>#VALUE!</v>
      </c>
      <c r="S10" s="159" t="e">
        <f>+[1]!Beta2Gamma(Q10)</f>
        <v>#VALUE!</v>
      </c>
      <c r="T10" s="159" t="e">
        <f>+(length1+length2*Brho1/Brho2*S10/R10)/$J10/c_speed</f>
        <v>#VALUE!</v>
      </c>
      <c r="U10" s="159" t="e">
        <f>+(length1*Brho2/Brho1*R10/S10+length2)/$J10/c_speed</f>
        <v>#VALUE!</v>
      </c>
      <c r="V10" s="159" t="e">
        <f t="shared" si="1"/>
        <v>#VALUE!</v>
      </c>
      <c r="W10" s="160" t="e">
        <f t="shared" si="2"/>
        <v>#VALUE!</v>
      </c>
      <c r="X10" s="160" t="e">
        <f t="shared" si="3"/>
        <v>#VALUE!</v>
      </c>
      <c r="Y10" s="160" t="str">
        <f>+IF(ISNUMBER($J10),[1]!Beta2Gamma(V10),"")</f>
        <v/>
      </c>
      <c r="Z10" s="160" t="str">
        <f>+IF(ISNUMBER($J10),Brho2/3.1071/V10/Y10,"")</f>
        <v/>
      </c>
      <c r="AA10" s="303" t="str">
        <f>+IF(AND(modeZ,ISNUMBER($J$11),ISNUMBER($J10)),a_z*SQRT(J$11/X10)+b_z,"")</f>
        <v/>
      </c>
      <c r="AB10" s="289" t="str">
        <f t="shared" si="4"/>
        <v/>
      </c>
      <c r="AC10" s="343" t="str">
        <f>+IF(ISNUMBER(TKE),TKE/(Y10-1)/Z10/aem,"")</f>
        <v/>
      </c>
      <c r="AD10" s="344" t="str">
        <f>+IF(AND(ISNUMBER(Z10),ISNUMBER(TKE)),AC10*Z10,"")</f>
        <v/>
      </c>
    </row>
    <row r="11" spans="2:31" ht="16.5" customHeight="1" x14ac:dyDescent="0.2">
      <c r="B11" s="152" t="s">
        <v>103</v>
      </c>
      <c r="C11" s="285">
        <v>2638.58</v>
      </c>
      <c r="D11" s="144">
        <v>12</v>
      </c>
      <c r="E11" s="145">
        <f t="shared" si="0"/>
        <v>4096</v>
      </c>
      <c r="F11" s="146">
        <v>0</v>
      </c>
      <c r="G11" s="144">
        <v>4095</v>
      </c>
      <c r="H11" s="147">
        <f>+G11-F11+1</f>
        <v>4096</v>
      </c>
      <c r="I11" s="148">
        <f t="shared" ref="I11:I12" si="5">+IF(ISNUMBER(C11),C11/E11*H11+F11,"")</f>
        <v>2638.58</v>
      </c>
      <c r="J11" s="149">
        <f>IF(AND(ISNUMBER(C11),modeDE),a_pin_de*I11+b_pin_de,"")</f>
        <v>314.77698468732154</v>
      </c>
      <c r="K11" s="161" t="s">
        <v>53</v>
      </c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Z11" s="162"/>
      <c r="AB11" s="163"/>
      <c r="AD11" s="164"/>
    </row>
    <row r="12" spans="2:31" s="121" customFormat="1" ht="16.5" customHeight="1" x14ac:dyDescent="0.2">
      <c r="B12" s="165" t="s">
        <v>102</v>
      </c>
      <c r="C12" s="251"/>
      <c r="D12" s="153">
        <v>12</v>
      </c>
      <c r="E12" s="154">
        <f t="shared" si="0"/>
        <v>4096</v>
      </c>
      <c r="F12" s="155">
        <v>0</v>
      </c>
      <c r="G12" s="153">
        <v>16383</v>
      </c>
      <c r="H12" s="156">
        <v>4096</v>
      </c>
      <c r="I12" s="157" t="str">
        <f t="shared" si="5"/>
        <v/>
      </c>
      <c r="J12" s="158" t="str">
        <f>IF(AND(ISNUMBER(C12),modeSci),a_sci_de*I12+b_sci_de,"")</f>
        <v/>
      </c>
      <c r="K12" s="166" t="s">
        <v>53</v>
      </c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AA12" s="168" t="s">
        <v>133</v>
      </c>
      <c r="AB12" s="249" t="str">
        <f>+IF(AND(ISNUMBER(J11),ISNUMBER(J12)),J11+J12,"")</f>
        <v/>
      </c>
      <c r="AC12" s="169" t="s">
        <v>53</v>
      </c>
      <c r="AD12" s="164"/>
    </row>
    <row r="13" spans="2:31" ht="14.25" customHeight="1" x14ac:dyDescent="0.2">
      <c r="B13" s="125"/>
      <c r="C13" s="125"/>
      <c r="D13" s="125"/>
      <c r="H13" s="125"/>
      <c r="I13" s="125"/>
      <c r="J13" s="126"/>
      <c r="K13" s="125"/>
      <c r="W13" s="125"/>
      <c r="X13" s="125"/>
      <c r="Y13" s="125"/>
      <c r="Z13" s="167"/>
      <c r="AA13" s="125"/>
      <c r="AB13" s="125"/>
    </row>
    <row r="14" spans="2:31" s="298" customFormat="1" ht="9" customHeight="1" x14ac:dyDescent="0.2">
      <c r="B14" s="299"/>
      <c r="C14" s="299"/>
      <c r="D14" s="299"/>
      <c r="E14" s="299"/>
      <c r="F14" s="299"/>
      <c r="G14" s="300"/>
      <c r="H14" s="299"/>
      <c r="I14" s="299"/>
      <c r="J14" s="300"/>
      <c r="K14" s="299"/>
      <c r="L14" s="299"/>
      <c r="M14" s="299"/>
      <c r="N14" s="299"/>
      <c r="O14" s="299"/>
      <c r="P14" s="299"/>
      <c r="Q14" s="299"/>
      <c r="R14" s="299"/>
      <c r="S14" s="299"/>
      <c r="T14" s="299"/>
      <c r="U14" s="299"/>
      <c r="V14" s="299"/>
      <c r="W14" s="299"/>
      <c r="X14" s="299"/>
      <c r="Y14" s="299"/>
      <c r="Z14" s="301"/>
      <c r="AA14" s="299"/>
      <c r="AB14" s="299"/>
      <c r="AC14" s="299"/>
      <c r="AD14" s="300"/>
    </row>
    <row r="15" spans="2:31" ht="14.25" customHeight="1" x14ac:dyDescent="0.2">
      <c r="B15" s="125"/>
      <c r="C15" s="117"/>
      <c r="D15" s="117"/>
      <c r="E15" s="117"/>
      <c r="F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</row>
    <row r="16" spans="2:31" ht="18.75" customHeight="1" x14ac:dyDescent="0.2">
      <c r="B16" s="117"/>
      <c r="C16" s="117"/>
      <c r="D16" s="117"/>
      <c r="E16" s="117"/>
      <c r="F16" s="117"/>
      <c r="H16" s="404" t="s">
        <v>194</v>
      </c>
      <c r="I16" s="404"/>
      <c r="J16" s="404"/>
      <c r="K16" s="404"/>
      <c r="L16" s="404"/>
      <c r="M16" s="404"/>
      <c r="N16" s="404"/>
      <c r="O16" s="404"/>
      <c r="P16" s="404"/>
      <c r="Q16" s="404"/>
      <c r="R16" s="404"/>
      <c r="S16" s="404"/>
      <c r="T16" s="404"/>
      <c r="U16" s="404"/>
      <c r="V16" s="404"/>
      <c r="W16" s="404"/>
      <c r="X16" s="404"/>
      <c r="Y16" s="404"/>
      <c r="Z16" s="404"/>
      <c r="AA16" s="404"/>
      <c r="AB16" s="404"/>
    </row>
    <row r="17" spans="2:30" x14ac:dyDescent="0.2"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</row>
    <row r="18" spans="2:30" ht="16.5" customHeight="1" x14ac:dyDescent="0.2">
      <c r="C18" s="117"/>
      <c r="D18" s="117"/>
      <c r="E18" s="117"/>
      <c r="F18" s="117"/>
      <c r="G18" s="117"/>
      <c r="H18" s="400" t="s">
        <v>193</v>
      </c>
      <c r="I18" s="401"/>
      <c r="J18" s="398" t="s">
        <v>113</v>
      </c>
      <c r="K18" s="399"/>
      <c r="W18" s="125"/>
      <c r="X18" s="125"/>
      <c r="Y18" s="125"/>
      <c r="Z18" s="125"/>
      <c r="AA18" s="125"/>
      <c r="AB18" s="125"/>
    </row>
    <row r="19" spans="2:30" ht="16.5" customHeight="1" x14ac:dyDescent="0.2">
      <c r="B19" s="133"/>
      <c r="C19" s="133"/>
      <c r="H19" s="402" t="s">
        <v>108</v>
      </c>
      <c r="I19" s="403"/>
      <c r="J19" s="290" t="s">
        <v>54</v>
      </c>
      <c r="K19" s="291" t="s">
        <v>192</v>
      </c>
    </row>
    <row r="20" spans="2:30" ht="16.5" customHeight="1" x14ac:dyDescent="0.2">
      <c r="H20" s="286" t="s">
        <v>107</v>
      </c>
      <c r="I20" s="211" t="s">
        <v>103</v>
      </c>
      <c r="J20" s="292" t="s">
        <v>191</v>
      </c>
      <c r="K20" s="293" t="s">
        <v>9</v>
      </c>
      <c r="L20" s="141" t="s">
        <v>148</v>
      </c>
      <c r="M20" s="141" t="s">
        <v>147</v>
      </c>
      <c r="N20" s="141" t="s">
        <v>146</v>
      </c>
      <c r="O20" s="141" t="s">
        <v>145</v>
      </c>
      <c r="P20" s="141" t="s">
        <v>144</v>
      </c>
      <c r="Q20" s="141" t="s">
        <v>143</v>
      </c>
      <c r="R20" s="141" t="s">
        <v>142</v>
      </c>
      <c r="S20" s="141" t="s">
        <v>141</v>
      </c>
      <c r="T20" s="141" t="s">
        <v>140</v>
      </c>
      <c r="U20" s="141" t="s">
        <v>139</v>
      </c>
      <c r="V20" s="141" t="s">
        <v>42</v>
      </c>
      <c r="W20" s="141" t="s">
        <v>38</v>
      </c>
      <c r="X20" s="141" t="s">
        <v>138</v>
      </c>
      <c r="Y20" s="141" t="s">
        <v>41</v>
      </c>
      <c r="Z20" s="141" t="s">
        <v>137</v>
      </c>
      <c r="AA20" s="211" t="s">
        <v>7</v>
      </c>
      <c r="AB20" s="212" t="s">
        <v>136</v>
      </c>
      <c r="AC20" s="349" t="s">
        <v>199</v>
      </c>
      <c r="AD20" s="340" t="s">
        <v>200</v>
      </c>
    </row>
    <row r="21" spans="2:30" ht="16.5" customHeight="1" x14ac:dyDescent="0.2">
      <c r="H21" s="334">
        <v>28.192599999999999</v>
      </c>
      <c r="I21" s="285">
        <v>3208.1</v>
      </c>
      <c r="J21" s="294">
        <f t="shared" ref="J21:J32" si="6">IF(AND(ISNUMBER(H21),modeRF1),a_tof*(H21+new_RF_shift1)+b_tof,"")</f>
        <v>269.0763388855903</v>
      </c>
      <c r="K21" s="295">
        <f t="shared" ref="K21:K32" si="7">IF(AND(ISNUMBER(I21),modeDE),a_pin_de*I21+b_pin_de,"")</f>
        <v>380.4294025193638</v>
      </c>
      <c r="L21" s="150">
        <f t="shared" ref="L21:L32" si="8">+(length1+length2*Brho1/Brho2)/J21/c_speed</f>
        <v>0.44765689870582676</v>
      </c>
      <c r="M21" s="150">
        <f t="shared" ref="M21:M32" si="9">+(length1*Brho2/Brho1+length2)/$J21/c_speed</f>
        <v>0.43252446734157501</v>
      </c>
      <c r="N21" s="150">
        <f>+[1]!Beta2Gamma(L21)</f>
        <v>1.1183112937099429</v>
      </c>
      <c r="O21" s="150">
        <f>+[1]!Beta2Gamma(M21)</f>
        <v>1.109112002705029</v>
      </c>
      <c r="P21" s="150">
        <f t="shared" ref="P21:P32" si="10">+(length1+length2*Brho1/Brho2*O21/N21)/J21/c_speed</f>
        <v>0.44575767007857642</v>
      </c>
      <c r="Q21" s="150">
        <f t="shared" ref="Q21:Q32" si="11">+(length1*Brho2/Brho1*N21/O21+length2)/$J21/c_speed</f>
        <v>0.4342617004913083</v>
      </c>
      <c r="R21" s="150">
        <f>+[1]!Beta2Gamma(P21)</f>
        <v>1.1171266223479415</v>
      </c>
      <c r="S21" s="150">
        <f>+[1]!Beta2Gamma(Q21)</f>
        <v>1.1101406586941733</v>
      </c>
      <c r="T21" s="150">
        <f t="shared" ref="T21:T32" si="12">+(length1+length2*Brho1/Brho2*S21/R21)/$J21/c_speed</f>
        <v>0.44621309044780105</v>
      </c>
      <c r="U21" s="150">
        <f t="shared" ref="U21:U32" si="13">+(length1*Brho2/Brho1*R21/S21+length2)/$J21/c_speed</f>
        <v>0.43384250393726376</v>
      </c>
      <c r="V21" s="150">
        <f>+U21</f>
        <v>0.43384250393726376</v>
      </c>
      <c r="W21" s="151">
        <f>+V21*V21</f>
        <v>0.18821931822255472</v>
      </c>
      <c r="X21" s="151">
        <f>-1+LN(5930/(1/W21-1))/W21</f>
        <v>37.392218301888647</v>
      </c>
      <c r="Y21" s="151">
        <f>+IF(ISNUMBER($J21),[1]!Beta2Gamma(V21),"")</f>
        <v>1.1098918030217826</v>
      </c>
      <c r="Z21" s="151">
        <f t="shared" ref="Z21:Z32" si="14">+IF(ISNUMBER($J21),Brho2/3.1071/V21/Y21,"")</f>
        <v>2.4396352035669189</v>
      </c>
      <c r="AA21" s="347">
        <f t="shared" ref="AA21:AA32" si="15">+IF(AND(modeZ,ISNUMBER(H21),ISNUMBER(I21)),a_z*SQRT(K21/X21)+b_z,"")</f>
        <v>23.012204425982283</v>
      </c>
      <c r="AB21" s="348">
        <f>+IF(ISNUMBER(AA21),AA21*Z21,"")</f>
        <v>56.141384029304838</v>
      </c>
      <c r="AC21" s="350">
        <f>+IF(ISNUMBER(AA21),INT(AA21+0.5),"")</f>
        <v>23</v>
      </c>
      <c r="AD21" s="351">
        <f>+IF(ISNUMBER(AB21),INT(AB21+0.5),"")</f>
        <v>56</v>
      </c>
    </row>
    <row r="22" spans="2:30" ht="16.5" customHeight="1" x14ac:dyDescent="0.2">
      <c r="H22" s="334">
        <v>33.331510000000002</v>
      </c>
      <c r="I22" s="285">
        <v>2559.3000000000002</v>
      </c>
      <c r="J22" s="294">
        <f t="shared" si="6"/>
        <v>263.66225060214106</v>
      </c>
      <c r="K22" s="295">
        <f t="shared" si="7"/>
        <v>305.63784350575759</v>
      </c>
      <c r="L22" s="150">
        <f t="shared" si="8"/>
        <v>0.45684916633137196</v>
      </c>
      <c r="M22" s="150">
        <f t="shared" si="9"/>
        <v>0.44140600288787041</v>
      </c>
      <c r="N22" s="150">
        <f>+[1]!Beta2Gamma(L22)</f>
        <v>1.1241712644953072</v>
      </c>
      <c r="O22" s="150">
        <f>+[1]!Beta2Gamma(M22)</f>
        <v>1.1144451657349794</v>
      </c>
      <c r="P22" s="150">
        <f t="shared" si="10"/>
        <v>0.45481062579559245</v>
      </c>
      <c r="Q22" s="150">
        <f t="shared" si="11"/>
        <v>0.44327146606763573</v>
      </c>
      <c r="R22" s="150">
        <f>+[1]!Beta2Gamma(P22)</f>
        <v>1.1228534465512661</v>
      </c>
      <c r="S22" s="150">
        <f>+[1]!Beta2Gamma(Q22)</f>
        <v>1.1155890603688317</v>
      </c>
      <c r="T22" s="150">
        <f t="shared" si="12"/>
        <v>0.45532480120825725</v>
      </c>
      <c r="U22" s="150">
        <f t="shared" si="13"/>
        <v>0.44279788158435651</v>
      </c>
      <c r="V22" s="150">
        <f t="shared" ref="V22:V32" si="16">+U22</f>
        <v>0.44279788158435651</v>
      </c>
      <c r="W22" s="151">
        <f t="shared" ref="W22:W32" si="17">+V22*V22</f>
        <v>0.19606996393559381</v>
      </c>
      <c r="X22" s="151">
        <f t="shared" ref="X22:X32" si="18">-1+LN(5930/(1/W22-1))/W22</f>
        <v>36.112970568000293</v>
      </c>
      <c r="Y22" s="151">
        <f>+IF(ISNUMBER($J22),[1]!Beta2Gamma(V22),"")</f>
        <v>1.1152978694295539</v>
      </c>
      <c r="Z22" s="151">
        <f t="shared" si="14"/>
        <v>2.3787085108607902</v>
      </c>
      <c r="AA22" s="347">
        <f t="shared" si="15"/>
        <v>20.996417288562441</v>
      </c>
      <c r="AB22" s="348">
        <f t="shared" ref="AB22:AB31" si="19">+IF(ISNUMBER(AA22),AA22*Z22,"")</f>
        <v>49.944356501888116</v>
      </c>
      <c r="AC22" s="352">
        <f t="shared" ref="AC22:AC32" si="20">+IF(ISNUMBER(AA22),INT(AA22+0.5),"")</f>
        <v>21</v>
      </c>
      <c r="AD22" s="353">
        <f t="shared" ref="AD22:AD32" si="21">+IF(ISNUMBER(AB22),INT(AB22+0.5),"")</f>
        <v>50</v>
      </c>
    </row>
    <row r="23" spans="2:30" ht="16.5" customHeight="1" x14ac:dyDescent="0.2">
      <c r="H23" s="334">
        <v>25.542000000000002</v>
      </c>
      <c r="I23" s="285">
        <v>2196.3000000000002</v>
      </c>
      <c r="J23" s="294">
        <f t="shared" si="6"/>
        <v>271.86887317868178</v>
      </c>
      <c r="K23" s="295">
        <f t="shared" si="7"/>
        <v>263.79238123396499</v>
      </c>
      <c r="L23" s="150">
        <f t="shared" si="8"/>
        <v>0.44305873626612224</v>
      </c>
      <c r="M23" s="150">
        <f t="shared" si="9"/>
        <v>0.42808173951646411</v>
      </c>
      <c r="N23" s="150">
        <f>+[1]!Beta2Gamma(L23)</f>
        <v>1.1154581933515844</v>
      </c>
      <c r="O23" s="150">
        <f>+[1]!Beta2Gamma(M23)</f>
        <v>1.1065129102810001</v>
      </c>
      <c r="P23" s="150">
        <f t="shared" si="10"/>
        <v>0.44122624288572343</v>
      </c>
      <c r="Q23" s="150">
        <f t="shared" si="11"/>
        <v>0.42975758040087997</v>
      </c>
      <c r="R23" s="150">
        <f>+[1]!Beta2Gamma(P23)</f>
        <v>1.1143353777553282</v>
      </c>
      <c r="S23" s="150">
        <f>+[1]!Beta2Gamma(Q23)</f>
        <v>1.1074880166072278</v>
      </c>
      <c r="T23" s="150">
        <f t="shared" si="12"/>
        <v>0.44165460102392645</v>
      </c>
      <c r="U23" s="150">
        <f t="shared" si="13"/>
        <v>0.42936341883719154</v>
      </c>
      <c r="V23" s="150">
        <f t="shared" si="16"/>
        <v>0.42936341883719154</v>
      </c>
      <c r="W23" s="151">
        <f t="shared" si="17"/>
        <v>0.18435294543556155</v>
      </c>
      <c r="X23" s="151">
        <f t="shared" si="18"/>
        <v>38.059044306112575</v>
      </c>
      <c r="Y23" s="151">
        <f>+IF(ISNUMBER($J23),[1]!Beta2Gamma(V23),"")</f>
        <v>1.1072580946445512</v>
      </c>
      <c r="Z23" s="151">
        <f t="shared" si="14"/>
        <v>2.4709487011838718</v>
      </c>
      <c r="AA23" s="347">
        <f t="shared" si="15"/>
        <v>19.009388492329894</v>
      </c>
      <c r="AB23" s="348">
        <f t="shared" si="19"/>
        <v>46.971223805422191</v>
      </c>
      <c r="AC23" s="352">
        <f t="shared" si="20"/>
        <v>19</v>
      </c>
      <c r="AD23" s="353">
        <f t="shared" si="21"/>
        <v>47</v>
      </c>
    </row>
    <row r="24" spans="2:30" ht="16.5" customHeight="1" x14ac:dyDescent="0.2">
      <c r="H24" s="334">
        <v>29.08</v>
      </c>
      <c r="I24" s="285">
        <v>2638.58</v>
      </c>
      <c r="J24" s="294">
        <f t="shared" si="6"/>
        <v>268.14142040234526</v>
      </c>
      <c r="K24" s="295">
        <f t="shared" si="7"/>
        <v>314.77698468732154</v>
      </c>
      <c r="L24" s="150">
        <f t="shared" si="8"/>
        <v>0.4492177269737021</v>
      </c>
      <c r="M24" s="150">
        <f t="shared" si="9"/>
        <v>0.4340325339370551</v>
      </c>
      <c r="N24" s="150">
        <f>+[1]!Beta2Gamma(L24)</f>
        <v>1.1192914959578109</v>
      </c>
      <c r="O24" s="150">
        <f>+[1]!Beta2Gamma(M24)</f>
        <v>1.1100045636485907</v>
      </c>
      <c r="P24" s="150">
        <f t="shared" si="10"/>
        <v>0.44729540433025927</v>
      </c>
      <c r="Q24" s="150">
        <f t="shared" si="11"/>
        <v>0.43579101734910036</v>
      </c>
      <c r="R24" s="150">
        <f>+[1]!Beta2Gamma(P24)</f>
        <v>1.1180851274538897</v>
      </c>
      <c r="S24" s="150">
        <f>+[1]!Beta2Gamma(Q24)</f>
        <v>1.1110520011521721</v>
      </c>
      <c r="T24" s="150">
        <f t="shared" si="12"/>
        <v>0.44776035386512114</v>
      </c>
      <c r="U24" s="150">
        <f t="shared" si="13"/>
        <v>0.43536300303186148</v>
      </c>
      <c r="V24" s="150">
        <f t="shared" si="16"/>
        <v>0.43536300303186148</v>
      </c>
      <c r="W24" s="151">
        <f t="shared" si="17"/>
        <v>0.18954094440892064</v>
      </c>
      <c r="X24" s="151">
        <f t="shared" si="18"/>
        <v>37.170031065261917</v>
      </c>
      <c r="Y24" s="151">
        <f>+IF(ISNUMBER($J24),[1]!Beta2Gamma(V24),"")</f>
        <v>1.110796391933518</v>
      </c>
      <c r="Z24" s="151">
        <f t="shared" si="14"/>
        <v>2.4291350079985108</v>
      </c>
      <c r="AA24" s="347">
        <f t="shared" si="15"/>
        <v>21.002824341787562</v>
      </c>
      <c r="AB24" s="348">
        <f t="shared" si="19"/>
        <v>51.018695875479445</v>
      </c>
      <c r="AC24" s="352">
        <f t="shared" si="20"/>
        <v>21</v>
      </c>
      <c r="AD24" s="353">
        <f t="shared" si="21"/>
        <v>51</v>
      </c>
    </row>
    <row r="25" spans="2:30" ht="16.5" customHeight="1" x14ac:dyDescent="0.2">
      <c r="H25" s="334"/>
      <c r="I25" s="285"/>
      <c r="J25" s="294" t="str">
        <f t="shared" si="6"/>
        <v/>
      </c>
      <c r="K25" s="295" t="str">
        <f t="shared" si="7"/>
        <v/>
      </c>
      <c r="L25" s="150" t="e">
        <f t="shared" si="8"/>
        <v>#VALUE!</v>
      </c>
      <c r="M25" s="150" t="e">
        <f t="shared" si="9"/>
        <v>#VALUE!</v>
      </c>
      <c r="N25" s="150" t="e">
        <f>+[1]!Beta2Gamma(L25)</f>
        <v>#VALUE!</v>
      </c>
      <c r="O25" s="150" t="e">
        <f>+[1]!Beta2Gamma(M25)</f>
        <v>#VALUE!</v>
      </c>
      <c r="P25" s="150" t="e">
        <f t="shared" si="10"/>
        <v>#VALUE!</v>
      </c>
      <c r="Q25" s="150" t="e">
        <f t="shared" si="11"/>
        <v>#VALUE!</v>
      </c>
      <c r="R25" s="150" t="e">
        <f>+[1]!Beta2Gamma(P25)</f>
        <v>#VALUE!</v>
      </c>
      <c r="S25" s="150" t="e">
        <f>+[1]!Beta2Gamma(Q25)</f>
        <v>#VALUE!</v>
      </c>
      <c r="T25" s="150" t="e">
        <f t="shared" si="12"/>
        <v>#VALUE!</v>
      </c>
      <c r="U25" s="150" t="e">
        <f t="shared" si="13"/>
        <v>#VALUE!</v>
      </c>
      <c r="V25" s="150" t="e">
        <f t="shared" si="16"/>
        <v>#VALUE!</v>
      </c>
      <c r="W25" s="151" t="e">
        <f t="shared" si="17"/>
        <v>#VALUE!</v>
      </c>
      <c r="X25" s="151" t="e">
        <f t="shared" si="18"/>
        <v>#VALUE!</v>
      </c>
      <c r="Y25" s="151" t="str">
        <f>+IF(ISNUMBER($J25),[1]!Beta2Gamma(V25),"")</f>
        <v/>
      </c>
      <c r="Z25" s="151" t="str">
        <f t="shared" si="14"/>
        <v/>
      </c>
      <c r="AA25" s="347" t="str">
        <f t="shared" si="15"/>
        <v/>
      </c>
      <c r="AB25" s="348" t="str">
        <f t="shared" si="19"/>
        <v/>
      </c>
      <c r="AC25" s="352" t="str">
        <f t="shared" si="20"/>
        <v/>
      </c>
      <c r="AD25" s="353" t="str">
        <f t="shared" si="21"/>
        <v/>
      </c>
    </row>
    <row r="26" spans="2:30" ht="16.5" customHeight="1" x14ac:dyDescent="0.2">
      <c r="H26" s="334"/>
      <c r="I26" s="285"/>
      <c r="J26" s="294" t="str">
        <f t="shared" si="6"/>
        <v/>
      </c>
      <c r="K26" s="295" t="str">
        <f t="shared" si="7"/>
        <v/>
      </c>
      <c r="L26" s="150" t="e">
        <f t="shared" si="8"/>
        <v>#VALUE!</v>
      </c>
      <c r="M26" s="150" t="e">
        <f t="shared" si="9"/>
        <v>#VALUE!</v>
      </c>
      <c r="N26" s="150" t="e">
        <f>+[1]!Beta2Gamma(L26)</f>
        <v>#VALUE!</v>
      </c>
      <c r="O26" s="150" t="e">
        <f>+[1]!Beta2Gamma(M26)</f>
        <v>#VALUE!</v>
      </c>
      <c r="P26" s="150" t="e">
        <f t="shared" si="10"/>
        <v>#VALUE!</v>
      </c>
      <c r="Q26" s="150" t="e">
        <f t="shared" si="11"/>
        <v>#VALUE!</v>
      </c>
      <c r="R26" s="150" t="e">
        <f>+[1]!Beta2Gamma(P26)</f>
        <v>#VALUE!</v>
      </c>
      <c r="S26" s="150" t="e">
        <f>+[1]!Beta2Gamma(Q26)</f>
        <v>#VALUE!</v>
      </c>
      <c r="T26" s="150" t="e">
        <f t="shared" si="12"/>
        <v>#VALUE!</v>
      </c>
      <c r="U26" s="150" t="e">
        <f t="shared" si="13"/>
        <v>#VALUE!</v>
      </c>
      <c r="V26" s="150" t="e">
        <f t="shared" si="16"/>
        <v>#VALUE!</v>
      </c>
      <c r="W26" s="151" t="e">
        <f t="shared" si="17"/>
        <v>#VALUE!</v>
      </c>
      <c r="X26" s="151" t="e">
        <f t="shared" si="18"/>
        <v>#VALUE!</v>
      </c>
      <c r="Y26" s="151" t="str">
        <f>+IF(ISNUMBER($J26),[1]!Beta2Gamma(V26),"")</f>
        <v/>
      </c>
      <c r="Z26" s="151" t="str">
        <f t="shared" si="14"/>
        <v/>
      </c>
      <c r="AA26" s="347" t="str">
        <f t="shared" si="15"/>
        <v/>
      </c>
      <c r="AB26" s="348" t="str">
        <f t="shared" si="19"/>
        <v/>
      </c>
      <c r="AC26" s="352" t="str">
        <f t="shared" si="20"/>
        <v/>
      </c>
      <c r="AD26" s="353" t="str">
        <f t="shared" si="21"/>
        <v/>
      </c>
    </row>
    <row r="27" spans="2:30" ht="16.5" customHeight="1" x14ac:dyDescent="0.2">
      <c r="H27" s="334"/>
      <c r="I27" s="285"/>
      <c r="J27" s="294" t="str">
        <f t="shared" si="6"/>
        <v/>
      </c>
      <c r="K27" s="295" t="str">
        <f t="shared" si="7"/>
        <v/>
      </c>
      <c r="L27" s="150" t="e">
        <f t="shared" si="8"/>
        <v>#VALUE!</v>
      </c>
      <c r="M27" s="150" t="e">
        <f t="shared" si="9"/>
        <v>#VALUE!</v>
      </c>
      <c r="N27" s="150" t="e">
        <f>+[1]!Beta2Gamma(L27)</f>
        <v>#VALUE!</v>
      </c>
      <c r="O27" s="150" t="e">
        <f>+[1]!Beta2Gamma(M27)</f>
        <v>#VALUE!</v>
      </c>
      <c r="P27" s="150" t="e">
        <f t="shared" si="10"/>
        <v>#VALUE!</v>
      </c>
      <c r="Q27" s="150" t="e">
        <f t="shared" si="11"/>
        <v>#VALUE!</v>
      </c>
      <c r="R27" s="150" t="e">
        <f>+[1]!Beta2Gamma(P27)</f>
        <v>#VALUE!</v>
      </c>
      <c r="S27" s="150" t="e">
        <f>+[1]!Beta2Gamma(Q27)</f>
        <v>#VALUE!</v>
      </c>
      <c r="T27" s="150" t="e">
        <f t="shared" si="12"/>
        <v>#VALUE!</v>
      </c>
      <c r="U27" s="150" t="e">
        <f t="shared" si="13"/>
        <v>#VALUE!</v>
      </c>
      <c r="V27" s="150" t="e">
        <f t="shared" si="16"/>
        <v>#VALUE!</v>
      </c>
      <c r="W27" s="151" t="e">
        <f t="shared" si="17"/>
        <v>#VALUE!</v>
      </c>
      <c r="X27" s="151" t="e">
        <f t="shared" si="18"/>
        <v>#VALUE!</v>
      </c>
      <c r="Y27" s="151" t="str">
        <f>+IF(ISNUMBER($J27),[1]!Beta2Gamma(V27),"")</f>
        <v/>
      </c>
      <c r="Z27" s="151" t="str">
        <f t="shared" si="14"/>
        <v/>
      </c>
      <c r="AA27" s="347" t="str">
        <f t="shared" si="15"/>
        <v/>
      </c>
      <c r="AB27" s="348" t="str">
        <f t="shared" si="19"/>
        <v/>
      </c>
      <c r="AC27" s="352" t="str">
        <f t="shared" si="20"/>
        <v/>
      </c>
      <c r="AD27" s="353" t="str">
        <f t="shared" si="21"/>
        <v/>
      </c>
    </row>
    <row r="28" spans="2:30" ht="16.5" customHeight="1" x14ac:dyDescent="0.2">
      <c r="H28" s="334"/>
      <c r="I28" s="285"/>
      <c r="J28" s="294" t="str">
        <f t="shared" si="6"/>
        <v/>
      </c>
      <c r="K28" s="295" t="str">
        <f t="shared" si="7"/>
        <v/>
      </c>
      <c r="L28" s="150" t="e">
        <f t="shared" si="8"/>
        <v>#VALUE!</v>
      </c>
      <c r="M28" s="150" t="e">
        <f t="shared" si="9"/>
        <v>#VALUE!</v>
      </c>
      <c r="N28" s="150" t="e">
        <f>+[1]!Beta2Gamma(L28)</f>
        <v>#VALUE!</v>
      </c>
      <c r="O28" s="150" t="e">
        <f>+[1]!Beta2Gamma(M28)</f>
        <v>#VALUE!</v>
      </c>
      <c r="P28" s="150" t="e">
        <f t="shared" si="10"/>
        <v>#VALUE!</v>
      </c>
      <c r="Q28" s="150" t="e">
        <f t="shared" si="11"/>
        <v>#VALUE!</v>
      </c>
      <c r="R28" s="150" t="e">
        <f>+[1]!Beta2Gamma(P28)</f>
        <v>#VALUE!</v>
      </c>
      <c r="S28" s="150" t="e">
        <f>+[1]!Beta2Gamma(Q28)</f>
        <v>#VALUE!</v>
      </c>
      <c r="T28" s="150" t="e">
        <f t="shared" si="12"/>
        <v>#VALUE!</v>
      </c>
      <c r="U28" s="150" t="e">
        <f t="shared" si="13"/>
        <v>#VALUE!</v>
      </c>
      <c r="V28" s="150" t="e">
        <f t="shared" si="16"/>
        <v>#VALUE!</v>
      </c>
      <c r="W28" s="151" t="e">
        <f t="shared" si="17"/>
        <v>#VALUE!</v>
      </c>
      <c r="X28" s="151" t="e">
        <f t="shared" si="18"/>
        <v>#VALUE!</v>
      </c>
      <c r="Y28" s="151" t="str">
        <f>+IF(ISNUMBER($J28),[1]!Beta2Gamma(V28),"")</f>
        <v/>
      </c>
      <c r="Z28" s="151" t="str">
        <f t="shared" si="14"/>
        <v/>
      </c>
      <c r="AA28" s="347" t="str">
        <f t="shared" si="15"/>
        <v/>
      </c>
      <c r="AB28" s="348" t="str">
        <f t="shared" si="19"/>
        <v/>
      </c>
      <c r="AC28" s="352" t="str">
        <f t="shared" si="20"/>
        <v/>
      </c>
      <c r="AD28" s="353" t="str">
        <f t="shared" si="21"/>
        <v/>
      </c>
    </row>
    <row r="29" spans="2:30" ht="16.5" customHeight="1" x14ac:dyDescent="0.2">
      <c r="H29" s="334"/>
      <c r="I29" s="285"/>
      <c r="J29" s="294" t="str">
        <f t="shared" si="6"/>
        <v/>
      </c>
      <c r="K29" s="295" t="str">
        <f t="shared" si="7"/>
        <v/>
      </c>
      <c r="L29" s="150" t="e">
        <f t="shared" si="8"/>
        <v>#VALUE!</v>
      </c>
      <c r="M29" s="150" t="e">
        <f t="shared" si="9"/>
        <v>#VALUE!</v>
      </c>
      <c r="N29" s="150" t="e">
        <f>+[1]!Beta2Gamma(L29)</f>
        <v>#VALUE!</v>
      </c>
      <c r="O29" s="150" t="e">
        <f>+[1]!Beta2Gamma(M29)</f>
        <v>#VALUE!</v>
      </c>
      <c r="P29" s="150" t="e">
        <f t="shared" si="10"/>
        <v>#VALUE!</v>
      </c>
      <c r="Q29" s="150" t="e">
        <f t="shared" si="11"/>
        <v>#VALUE!</v>
      </c>
      <c r="R29" s="150" t="e">
        <f>+[1]!Beta2Gamma(P29)</f>
        <v>#VALUE!</v>
      </c>
      <c r="S29" s="150" t="e">
        <f>+[1]!Beta2Gamma(Q29)</f>
        <v>#VALUE!</v>
      </c>
      <c r="T29" s="150" t="e">
        <f t="shared" si="12"/>
        <v>#VALUE!</v>
      </c>
      <c r="U29" s="150" t="e">
        <f t="shared" si="13"/>
        <v>#VALUE!</v>
      </c>
      <c r="V29" s="150" t="e">
        <f t="shared" si="16"/>
        <v>#VALUE!</v>
      </c>
      <c r="W29" s="151" t="e">
        <f t="shared" si="17"/>
        <v>#VALUE!</v>
      </c>
      <c r="X29" s="151" t="e">
        <f t="shared" si="18"/>
        <v>#VALUE!</v>
      </c>
      <c r="Y29" s="151" t="str">
        <f>+IF(ISNUMBER($J29),[1]!Beta2Gamma(V29),"")</f>
        <v/>
      </c>
      <c r="Z29" s="151" t="str">
        <f t="shared" si="14"/>
        <v/>
      </c>
      <c r="AA29" s="347" t="str">
        <f t="shared" si="15"/>
        <v/>
      </c>
      <c r="AB29" s="348" t="str">
        <f t="shared" si="19"/>
        <v/>
      </c>
      <c r="AC29" s="352" t="str">
        <f t="shared" si="20"/>
        <v/>
      </c>
      <c r="AD29" s="353" t="str">
        <f t="shared" si="21"/>
        <v/>
      </c>
    </row>
    <row r="30" spans="2:30" ht="16.5" customHeight="1" x14ac:dyDescent="0.2">
      <c r="H30" s="334"/>
      <c r="I30" s="285"/>
      <c r="J30" s="294" t="str">
        <f t="shared" si="6"/>
        <v/>
      </c>
      <c r="K30" s="295" t="str">
        <f t="shared" si="7"/>
        <v/>
      </c>
      <c r="L30" s="150" t="e">
        <f t="shared" si="8"/>
        <v>#VALUE!</v>
      </c>
      <c r="M30" s="150" t="e">
        <f t="shared" si="9"/>
        <v>#VALUE!</v>
      </c>
      <c r="N30" s="150" t="e">
        <f>+[1]!Beta2Gamma(L30)</f>
        <v>#VALUE!</v>
      </c>
      <c r="O30" s="150" t="e">
        <f>+[1]!Beta2Gamma(M30)</f>
        <v>#VALUE!</v>
      </c>
      <c r="P30" s="150" t="e">
        <f t="shared" si="10"/>
        <v>#VALUE!</v>
      </c>
      <c r="Q30" s="150" t="e">
        <f t="shared" si="11"/>
        <v>#VALUE!</v>
      </c>
      <c r="R30" s="150" t="e">
        <f>+[1]!Beta2Gamma(P30)</f>
        <v>#VALUE!</v>
      </c>
      <c r="S30" s="150" t="e">
        <f>+[1]!Beta2Gamma(Q30)</f>
        <v>#VALUE!</v>
      </c>
      <c r="T30" s="150" t="e">
        <f t="shared" si="12"/>
        <v>#VALUE!</v>
      </c>
      <c r="U30" s="150" t="e">
        <f t="shared" si="13"/>
        <v>#VALUE!</v>
      </c>
      <c r="V30" s="150" t="e">
        <f t="shared" si="16"/>
        <v>#VALUE!</v>
      </c>
      <c r="W30" s="151" t="e">
        <f t="shared" si="17"/>
        <v>#VALUE!</v>
      </c>
      <c r="X30" s="151" t="e">
        <f t="shared" si="18"/>
        <v>#VALUE!</v>
      </c>
      <c r="Y30" s="151" t="str">
        <f>+IF(ISNUMBER($J30),[1]!Beta2Gamma(V30),"")</f>
        <v/>
      </c>
      <c r="Z30" s="151" t="str">
        <f t="shared" si="14"/>
        <v/>
      </c>
      <c r="AA30" s="347" t="str">
        <f t="shared" si="15"/>
        <v/>
      </c>
      <c r="AB30" s="348" t="str">
        <f t="shared" si="19"/>
        <v/>
      </c>
      <c r="AC30" s="352" t="str">
        <f t="shared" si="20"/>
        <v/>
      </c>
      <c r="AD30" s="353" t="str">
        <f t="shared" si="21"/>
        <v/>
      </c>
    </row>
    <row r="31" spans="2:30" ht="16.5" customHeight="1" x14ac:dyDescent="0.2">
      <c r="H31" s="334"/>
      <c r="I31" s="285"/>
      <c r="J31" s="294" t="str">
        <f t="shared" si="6"/>
        <v/>
      </c>
      <c r="K31" s="295" t="str">
        <f t="shared" si="7"/>
        <v/>
      </c>
      <c r="L31" s="150" t="e">
        <f t="shared" si="8"/>
        <v>#VALUE!</v>
      </c>
      <c r="M31" s="150" t="e">
        <f t="shared" si="9"/>
        <v>#VALUE!</v>
      </c>
      <c r="N31" s="150" t="e">
        <f>+[1]!Beta2Gamma(L31)</f>
        <v>#VALUE!</v>
      </c>
      <c r="O31" s="150" t="e">
        <f>+[1]!Beta2Gamma(M31)</f>
        <v>#VALUE!</v>
      </c>
      <c r="P31" s="150" t="e">
        <f t="shared" si="10"/>
        <v>#VALUE!</v>
      </c>
      <c r="Q31" s="150" t="e">
        <f t="shared" si="11"/>
        <v>#VALUE!</v>
      </c>
      <c r="R31" s="150" t="e">
        <f>+[1]!Beta2Gamma(P31)</f>
        <v>#VALUE!</v>
      </c>
      <c r="S31" s="150" t="e">
        <f>+[1]!Beta2Gamma(Q31)</f>
        <v>#VALUE!</v>
      </c>
      <c r="T31" s="150" t="e">
        <f t="shared" si="12"/>
        <v>#VALUE!</v>
      </c>
      <c r="U31" s="150" t="e">
        <f t="shared" si="13"/>
        <v>#VALUE!</v>
      </c>
      <c r="V31" s="150" t="e">
        <f t="shared" si="16"/>
        <v>#VALUE!</v>
      </c>
      <c r="W31" s="151" t="e">
        <f t="shared" si="17"/>
        <v>#VALUE!</v>
      </c>
      <c r="X31" s="151" t="e">
        <f t="shared" si="18"/>
        <v>#VALUE!</v>
      </c>
      <c r="Y31" s="151" t="str">
        <f>+IF(ISNUMBER($J31),[1]!Beta2Gamma(V31),"")</f>
        <v/>
      </c>
      <c r="Z31" s="151" t="str">
        <f t="shared" si="14"/>
        <v/>
      </c>
      <c r="AA31" s="347" t="str">
        <f t="shared" si="15"/>
        <v/>
      </c>
      <c r="AB31" s="348" t="str">
        <f t="shared" si="19"/>
        <v/>
      </c>
      <c r="AC31" s="352" t="str">
        <f t="shared" si="20"/>
        <v/>
      </c>
      <c r="AD31" s="353" t="str">
        <f t="shared" si="21"/>
        <v/>
      </c>
    </row>
    <row r="32" spans="2:30" x14ac:dyDescent="0.2">
      <c r="H32" s="346"/>
      <c r="I32" s="288"/>
      <c r="J32" s="296" t="str">
        <f t="shared" si="6"/>
        <v/>
      </c>
      <c r="K32" s="297" t="str">
        <f t="shared" si="7"/>
        <v/>
      </c>
      <c r="L32" s="159" t="e">
        <f t="shared" si="8"/>
        <v>#VALUE!</v>
      </c>
      <c r="M32" s="159" t="e">
        <f t="shared" si="9"/>
        <v>#VALUE!</v>
      </c>
      <c r="N32" s="159" t="e">
        <f>+[1]!Beta2Gamma(L32)</f>
        <v>#VALUE!</v>
      </c>
      <c r="O32" s="159" t="e">
        <f>+[1]!Beta2Gamma(M32)</f>
        <v>#VALUE!</v>
      </c>
      <c r="P32" s="159" t="e">
        <f t="shared" si="10"/>
        <v>#VALUE!</v>
      </c>
      <c r="Q32" s="159" t="e">
        <f t="shared" si="11"/>
        <v>#VALUE!</v>
      </c>
      <c r="R32" s="159" t="e">
        <f>+[1]!Beta2Gamma(P32)</f>
        <v>#VALUE!</v>
      </c>
      <c r="S32" s="159" t="e">
        <f>+[1]!Beta2Gamma(Q32)</f>
        <v>#VALUE!</v>
      </c>
      <c r="T32" s="159" t="e">
        <f t="shared" si="12"/>
        <v>#VALUE!</v>
      </c>
      <c r="U32" s="159" t="e">
        <f t="shared" si="13"/>
        <v>#VALUE!</v>
      </c>
      <c r="V32" s="159" t="e">
        <f t="shared" si="16"/>
        <v>#VALUE!</v>
      </c>
      <c r="W32" s="160" t="e">
        <f t="shared" si="17"/>
        <v>#VALUE!</v>
      </c>
      <c r="X32" s="160" t="e">
        <f t="shared" si="18"/>
        <v>#VALUE!</v>
      </c>
      <c r="Y32" s="160" t="str">
        <f>+IF(ISNUMBER($J32),[1]!Beta2Gamma(V32),"")</f>
        <v/>
      </c>
      <c r="Z32" s="160" t="str">
        <f t="shared" si="14"/>
        <v/>
      </c>
      <c r="AA32" s="364" t="str">
        <f t="shared" si="15"/>
        <v/>
      </c>
      <c r="AB32" s="365" t="str">
        <f t="shared" ref="AB32" si="22">+IF(ISNUMBER(AA32),AA32*Z32,"")</f>
        <v/>
      </c>
      <c r="AC32" s="354" t="str">
        <f t="shared" si="20"/>
        <v/>
      </c>
      <c r="AD32" s="355" t="str">
        <f t="shared" si="21"/>
        <v/>
      </c>
    </row>
    <row r="40" spans="12:21" x14ac:dyDescent="0.2">
      <c r="L40" s="127" t="s">
        <v>132</v>
      </c>
      <c r="M40" s="124"/>
    </row>
    <row r="41" spans="12:21" x14ac:dyDescent="0.2">
      <c r="L41" s="124">
        <f>+'Z -&gt; data'!H5</f>
        <v>0.44807132703405844</v>
      </c>
      <c r="M41" s="125">
        <f>+'Z -&gt; data'!I5</f>
        <v>0.43584258489044242</v>
      </c>
    </row>
    <row r="42" spans="12:21" x14ac:dyDescent="0.2">
      <c r="L42" s="170">
        <f>+(L7/$L41-1)</f>
        <v>2.5585210891134746E-3</v>
      </c>
      <c r="M42" s="170">
        <f>+(M7/$M41-1)</f>
        <v>-4.1529924246441752E-3</v>
      </c>
      <c r="N42" s="170"/>
      <c r="O42" s="170"/>
      <c r="P42" s="170">
        <f>+(P7/$L41-1)</f>
        <v>-1.7316946141929801E-3</v>
      </c>
      <c r="Q42" s="170">
        <f>+(Q7/$M41-1)</f>
        <v>-1.1831689497487918E-4</v>
      </c>
      <c r="R42" s="170"/>
      <c r="S42" s="170"/>
      <c r="T42" s="170">
        <f>+(T7/$L41-1)</f>
        <v>-6.9402604044255245E-4</v>
      </c>
      <c r="U42" s="170">
        <f>+(U7/$M41-1)</f>
        <v>-1.1003556678645943E-3</v>
      </c>
    </row>
    <row r="43" spans="12:21" x14ac:dyDescent="0.2">
      <c r="M43" s="125">
        <f>+L7/M7-1</f>
        <v>3.4986301369862804E-2</v>
      </c>
      <c r="O43" s="125">
        <f>+N7/O7-1</f>
        <v>8.3665712857017294E-3</v>
      </c>
      <c r="Q43" s="125">
        <f>+P7/Q7-1</f>
        <v>2.6398862122353206E-2</v>
      </c>
      <c r="S43" s="125">
        <f>+R7/S7-1</f>
        <v>6.3301504289845489E-3</v>
      </c>
      <c r="U43" s="125">
        <f>+T7/U7-1</f>
        <v>2.8475894246696942E-2</v>
      </c>
    </row>
  </sheetData>
  <mergeCells count="8">
    <mergeCell ref="C5:E5"/>
    <mergeCell ref="F5:I5"/>
    <mergeCell ref="J6:K6"/>
    <mergeCell ref="F2:G2"/>
    <mergeCell ref="J18:K18"/>
    <mergeCell ref="H18:I18"/>
    <mergeCell ref="H19:I19"/>
    <mergeCell ref="H16:AB16"/>
  </mergeCells>
  <printOptions horizontalCentered="1"/>
  <pageMargins left="0.74803149606299213" right="0.74803149606299213" top="0.59" bottom="0.6" header="0.34" footer="0.51181102362204722"/>
  <pageSetup scale="85" orientation="landscape" r:id="rId1"/>
  <headerFooter alignWithMargins="0">
    <oddHeader>&amp;L&amp;D &amp;T&amp;C&amp;F &amp;R&amp;A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70</vt:i4>
      </vt:variant>
    </vt:vector>
  </HeadingPairs>
  <TitlesOfParts>
    <vt:vector size="74" baseType="lpstr">
      <vt:lpstr>parameters</vt:lpstr>
      <vt:lpstr>AoQ-based PID</vt:lpstr>
      <vt:lpstr>Z -&gt; data</vt:lpstr>
      <vt:lpstr>data -&gt; Z</vt:lpstr>
      <vt:lpstr>'Z -&gt; data'!A</vt:lpstr>
      <vt:lpstr>a_pin_de</vt:lpstr>
      <vt:lpstr>a_pin_deC</vt:lpstr>
      <vt:lpstr>a_sci_de</vt:lpstr>
      <vt:lpstr>a_sci_deC</vt:lpstr>
      <vt:lpstr>a_tof</vt:lpstr>
      <vt:lpstr>a_tof_c1</vt:lpstr>
      <vt:lpstr>a_tof_c2</vt:lpstr>
      <vt:lpstr>a_tof2</vt:lpstr>
      <vt:lpstr>a_z</vt:lpstr>
      <vt:lpstr>a_z_C</vt:lpstr>
      <vt:lpstr>aE</vt:lpstr>
      <vt:lpstr>aem</vt:lpstr>
      <vt:lpstr>aZ</vt:lpstr>
      <vt:lpstr>b_pin_de</vt:lpstr>
      <vt:lpstr>b_pin_deC</vt:lpstr>
      <vt:lpstr>b_sci_de</vt:lpstr>
      <vt:lpstr>b_sci_deC</vt:lpstr>
      <vt:lpstr>b_tof</vt:lpstr>
      <vt:lpstr>b_tof_c1</vt:lpstr>
      <vt:lpstr>b_tof_c2</vt:lpstr>
      <vt:lpstr>b_tof2</vt:lpstr>
      <vt:lpstr>b_tof3</vt:lpstr>
      <vt:lpstr>b_z</vt:lpstr>
      <vt:lpstr>b_z_C</vt:lpstr>
      <vt:lpstr>bE</vt:lpstr>
      <vt:lpstr>'Z -&gt; data'!Brho</vt:lpstr>
      <vt:lpstr>'data -&gt; Z'!Brho1</vt:lpstr>
      <vt:lpstr>'Z -&gt; data'!Brho1</vt:lpstr>
      <vt:lpstr>Brho12</vt:lpstr>
      <vt:lpstr>Brho12local</vt:lpstr>
      <vt:lpstr>'data -&gt; Z'!Brho2</vt:lpstr>
      <vt:lpstr>'Z -&gt; data'!Brho2</vt:lpstr>
      <vt:lpstr>bunch_distance1</vt:lpstr>
      <vt:lpstr>bunch_distance2</vt:lpstr>
      <vt:lpstr>bZ</vt:lpstr>
      <vt:lpstr>c_speed</vt:lpstr>
      <vt:lpstr>dispersion</vt:lpstr>
      <vt:lpstr>HF</vt:lpstr>
      <vt:lpstr>length1</vt:lpstr>
      <vt:lpstr>length2</vt:lpstr>
      <vt:lpstr>Material_pin</vt:lpstr>
      <vt:lpstr>mode3</vt:lpstr>
      <vt:lpstr>modeDE</vt:lpstr>
      <vt:lpstr>modeRF1</vt:lpstr>
      <vt:lpstr>modeRF2</vt:lpstr>
      <vt:lpstr>modeSci</vt:lpstr>
      <vt:lpstr>modeZ</vt:lpstr>
      <vt:lpstr>Mq</vt:lpstr>
      <vt:lpstr>new_RF_shift1</vt:lpstr>
      <vt:lpstr>new_RF_shift2</vt:lpstr>
      <vt:lpstr>offsetX</vt:lpstr>
      <vt:lpstr>PIN_thick_mg</vt:lpstr>
      <vt:lpstr>PIN_thick_um</vt:lpstr>
      <vt:lpstr>'data -&gt; Z'!Print_Area</vt:lpstr>
      <vt:lpstr>parameters!Print_Area</vt:lpstr>
      <vt:lpstr>'Z -&gt; data'!Print_Area</vt:lpstr>
      <vt:lpstr>'Z -&gt; data'!Q1_</vt:lpstr>
      <vt:lpstr>'Z -&gt; data'!Q2_</vt:lpstr>
      <vt:lpstr>radius</vt:lpstr>
      <vt:lpstr>shift</vt:lpstr>
      <vt:lpstr>shift_calc</vt:lpstr>
      <vt:lpstr>shift2</vt:lpstr>
      <vt:lpstr>slope_Brho</vt:lpstr>
      <vt:lpstr>slopeX</vt:lpstr>
      <vt:lpstr>'data -&gt; Z'!TKE</vt:lpstr>
      <vt:lpstr>tof_slope</vt:lpstr>
      <vt:lpstr>total_length</vt:lpstr>
      <vt:lpstr>'Z -&gt; data'!Z</vt:lpstr>
      <vt:lpstr>Z_Material_pin</vt:lpstr>
    </vt:vector>
  </TitlesOfParts>
  <Company>NSCL/FRIB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Tarasov, Oleg</dc:creator>
  <cp:lastModifiedBy>Tarasov, Oleg</cp:lastModifiedBy>
  <dcterms:created xsi:type="dcterms:W3CDTF">2019-04-27T19:04:59Z</dcterms:created>
  <dcterms:modified xsi:type="dcterms:W3CDTF">2019-05-06T21:04:45Z</dcterms:modified>
</cp:coreProperties>
</file>