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 tabRatio="268"/>
  </bookViews>
  <sheets>
    <sheet name="data" sheetId="1" r:id="rId1"/>
    <sheet name="circles" sheetId="9" r:id="rId2"/>
    <sheet name="best region" sheetId="2" r:id="rId3"/>
    <sheet name="RECAPS" sheetId="6" r:id="rId4"/>
    <sheet name="data (2)" sheetId="8" r:id="rId5"/>
    <sheet name="scale" sheetId="5" r:id="rId6"/>
  </sheets>
  <definedNames>
    <definedName name="solver_adj" localSheetId="0" hidden="1">data!$AZ$2:$BB$2</definedName>
    <definedName name="solver_adj" localSheetId="4" hidden="1">'data (2)'!$AU$2:$AW$2</definedName>
    <definedName name="solver_cvg" localSheetId="0" hidden="1">0.0001</definedName>
    <definedName name="solver_cvg" localSheetId="4" hidden="1">0.0001</definedName>
    <definedName name="solver_drv" localSheetId="0" hidden="1">1</definedName>
    <definedName name="solver_drv" localSheetId="4" hidden="1">1</definedName>
    <definedName name="solver_est" localSheetId="0" hidden="1">1</definedName>
    <definedName name="solver_est" localSheetId="4" hidden="1">1</definedName>
    <definedName name="solver_itr" localSheetId="0" hidden="1">100</definedName>
    <definedName name="solver_itr" localSheetId="4" hidden="1">100</definedName>
    <definedName name="solver_lin" localSheetId="0" hidden="1">2</definedName>
    <definedName name="solver_lin" localSheetId="4" hidden="1">2</definedName>
    <definedName name="solver_neg" localSheetId="0" hidden="1">1</definedName>
    <definedName name="solver_neg" localSheetId="4" hidden="1">1</definedName>
    <definedName name="solver_num" localSheetId="0" hidden="1">0</definedName>
    <definedName name="solver_num" localSheetId="4" hidden="1">0</definedName>
    <definedName name="solver_nwt" localSheetId="0" hidden="1">1</definedName>
    <definedName name="solver_nwt" localSheetId="4" hidden="1">1</definedName>
    <definedName name="solver_opt" localSheetId="0" hidden="1">data!$BD$2</definedName>
    <definedName name="solver_opt" localSheetId="4" hidden="1">'data (2)'!$AY$2</definedName>
    <definedName name="solver_pre" localSheetId="0" hidden="1">0.000001</definedName>
    <definedName name="solver_pre" localSheetId="4" hidden="1">0.000001</definedName>
    <definedName name="solver_scl" localSheetId="0" hidden="1">2</definedName>
    <definedName name="solver_scl" localSheetId="4" hidden="1">2</definedName>
    <definedName name="solver_sho" localSheetId="0" hidden="1">2</definedName>
    <definedName name="solver_sho" localSheetId="4" hidden="1">2</definedName>
    <definedName name="solver_tim" localSheetId="0" hidden="1">100</definedName>
    <definedName name="solver_tim" localSheetId="4" hidden="1">100</definedName>
    <definedName name="solver_tol" localSheetId="0" hidden="1">0.05</definedName>
    <definedName name="solver_tol" localSheetId="4" hidden="1">0.05</definedName>
    <definedName name="solver_typ" localSheetId="0" hidden="1">2</definedName>
    <definedName name="solver_typ" localSheetId="4" hidden="1">2</definedName>
    <definedName name="solver_val" localSheetId="0" hidden="1">0</definedName>
    <definedName name="solver_val" localSheetId="4" hidden="1">0</definedName>
  </definedNames>
  <calcPr calcId="124519"/>
</workbook>
</file>

<file path=xl/calcChain.xml><?xml version="1.0" encoding="utf-8"?>
<calcChain xmlns="http://schemas.openxmlformats.org/spreadsheetml/2006/main">
  <c r="L61" i="1"/>
  <c r="M61"/>
  <c r="N61"/>
  <c r="O61"/>
  <c r="P61"/>
  <c r="Q61"/>
  <c r="X61" s="1"/>
  <c r="R61"/>
  <c r="S61" s="1"/>
  <c r="T61"/>
  <c r="W61"/>
  <c r="Z61"/>
  <c r="AA61"/>
  <c r="AB61"/>
  <c r="AC61"/>
  <c r="AE61"/>
  <c r="AK61" s="1"/>
  <c r="AM61" s="1"/>
  <c r="AG61"/>
  <c r="AI61"/>
  <c r="L62"/>
  <c r="P62" s="1"/>
  <c r="Q62" s="1"/>
  <c r="M62"/>
  <c r="R62" s="1"/>
  <c r="T62" s="1"/>
  <c r="N62"/>
  <c r="O62"/>
  <c r="S62"/>
  <c r="V62"/>
  <c r="Y62"/>
  <c r="AA62"/>
  <c r="AB62"/>
  <c r="AC62"/>
  <c r="AD62"/>
  <c r="AJ62" s="1"/>
  <c r="AL62" s="1"/>
  <c r="AF62"/>
  <c r="AH62"/>
  <c r="L63"/>
  <c r="M63"/>
  <c r="N63"/>
  <c r="O63"/>
  <c r="P63"/>
  <c r="Q63"/>
  <c r="X63" s="1"/>
  <c r="R63"/>
  <c r="S63" s="1"/>
  <c r="T63"/>
  <c r="W63"/>
  <c r="Z63"/>
  <c r="AA63"/>
  <c r="AB63"/>
  <c r="AC63"/>
  <c r="AE63"/>
  <c r="AK63" s="1"/>
  <c r="AM63" s="1"/>
  <c r="AG63"/>
  <c r="AI63"/>
  <c r="L64"/>
  <c r="P64" s="1"/>
  <c r="Q64" s="1"/>
  <c r="M64"/>
  <c r="R64" s="1"/>
  <c r="S64" s="1"/>
  <c r="N64"/>
  <c r="O64"/>
  <c r="T64"/>
  <c r="W64"/>
  <c r="Z64"/>
  <c r="AA64"/>
  <c r="AB64"/>
  <c r="AC64"/>
  <c r="AE64"/>
  <c r="AK64" s="1"/>
  <c r="AM64" s="1"/>
  <c r="AG64"/>
  <c r="AI64"/>
  <c r="L65"/>
  <c r="M65"/>
  <c r="N65"/>
  <c r="O65"/>
  <c r="P65"/>
  <c r="Q65"/>
  <c r="X65" s="1"/>
  <c r="R65"/>
  <c r="T65" s="1"/>
  <c r="S65"/>
  <c r="V65"/>
  <c r="Y65"/>
  <c r="AA65"/>
  <c r="AB65"/>
  <c r="AC65"/>
  <c r="AD65"/>
  <c r="AJ65" s="1"/>
  <c r="AL65" s="1"/>
  <c r="AF65"/>
  <c r="AH65"/>
  <c r="L66"/>
  <c r="P66" s="1"/>
  <c r="Q66" s="1"/>
  <c r="M66"/>
  <c r="R66" s="1"/>
  <c r="T66" s="1"/>
  <c r="N66"/>
  <c r="O66"/>
  <c r="S66"/>
  <c r="V66"/>
  <c r="Y66"/>
  <c r="AA66"/>
  <c r="AB66"/>
  <c r="AC66"/>
  <c r="AD66"/>
  <c r="AJ66" s="1"/>
  <c r="AL66" s="1"/>
  <c r="AF66"/>
  <c r="AH66"/>
  <c r="L67"/>
  <c r="M67"/>
  <c r="N67"/>
  <c r="O67"/>
  <c r="P67"/>
  <c r="Q67"/>
  <c r="X67" s="1"/>
  <c r="R67"/>
  <c r="S67" s="1"/>
  <c r="T67"/>
  <c r="W67"/>
  <c r="Z67"/>
  <c r="AA67"/>
  <c r="AB67"/>
  <c r="AC67"/>
  <c r="AE67"/>
  <c r="AK67" s="1"/>
  <c r="AM67" s="1"/>
  <c r="AG67"/>
  <c r="AI67"/>
  <c r="L68"/>
  <c r="P68" s="1"/>
  <c r="Q68" s="1"/>
  <c r="M68"/>
  <c r="R68" s="1"/>
  <c r="T68" s="1"/>
  <c r="N68"/>
  <c r="O68"/>
  <c r="S68"/>
  <c r="V68"/>
  <c r="Y68"/>
  <c r="AA68"/>
  <c r="AB68"/>
  <c r="AC68"/>
  <c r="AD68"/>
  <c r="AJ68" s="1"/>
  <c r="AL68" s="1"/>
  <c r="AF68"/>
  <c r="AH68"/>
  <c r="L69"/>
  <c r="M69"/>
  <c r="N69"/>
  <c r="O69"/>
  <c r="P69"/>
  <c r="Q69"/>
  <c r="X69" s="1"/>
  <c r="R69"/>
  <c r="T69" s="1"/>
  <c r="S69"/>
  <c r="V69"/>
  <c r="Y69"/>
  <c r="AA69"/>
  <c r="AB69"/>
  <c r="AC69"/>
  <c r="AD69"/>
  <c r="AJ69" s="1"/>
  <c r="AL69" s="1"/>
  <c r="AF69"/>
  <c r="AH69"/>
  <c r="L70"/>
  <c r="P70" s="1"/>
  <c r="Q70" s="1"/>
  <c r="M70"/>
  <c r="R70" s="1"/>
  <c r="T70" s="1"/>
  <c r="N70"/>
  <c r="O70"/>
  <c r="S70"/>
  <c r="V70"/>
  <c r="Y70"/>
  <c r="AA70"/>
  <c r="AB70"/>
  <c r="AC70"/>
  <c r="AD70"/>
  <c r="AJ70" s="1"/>
  <c r="AL70" s="1"/>
  <c r="AF70"/>
  <c r="AH70"/>
  <c r="L71"/>
  <c r="M71"/>
  <c r="N71"/>
  <c r="O71"/>
  <c r="P71"/>
  <c r="Q71"/>
  <c r="X71" s="1"/>
  <c r="R71"/>
  <c r="S71" s="1"/>
  <c r="T71"/>
  <c r="W71"/>
  <c r="Z71"/>
  <c r="AA71"/>
  <c r="AB71"/>
  <c r="AC71"/>
  <c r="AE71"/>
  <c r="AK71" s="1"/>
  <c r="AM71" s="1"/>
  <c r="AG71"/>
  <c r="AI71"/>
  <c r="L72"/>
  <c r="P72" s="1"/>
  <c r="Q72" s="1"/>
  <c r="M72"/>
  <c r="R72" s="1"/>
  <c r="T72" s="1"/>
  <c r="N72"/>
  <c r="O72"/>
  <c r="S72"/>
  <c r="V72"/>
  <c r="Y72"/>
  <c r="AA72"/>
  <c r="AB72"/>
  <c r="AC72"/>
  <c r="AD72"/>
  <c r="AJ72" s="1"/>
  <c r="AL72" s="1"/>
  <c r="AF72"/>
  <c r="AH72"/>
  <c r="L73"/>
  <c r="P73" s="1"/>
  <c r="S73"/>
  <c r="V73"/>
  <c r="Y73"/>
  <c r="AA73"/>
  <c r="AB73"/>
  <c r="AC73"/>
  <c r="AD73"/>
  <c r="AJ73" s="1"/>
  <c r="AF73"/>
  <c r="AH73"/>
  <c r="L74"/>
  <c r="P74" s="1"/>
  <c r="T74"/>
  <c r="W74"/>
  <c r="Z74"/>
  <c r="AA74"/>
  <c r="AB74"/>
  <c r="AC74"/>
  <c r="AE74"/>
  <c r="AK74" s="1"/>
  <c r="AG74"/>
  <c r="AI74"/>
  <c r="L75"/>
  <c r="P75" s="1"/>
  <c r="M75"/>
  <c r="S75"/>
  <c r="V75"/>
  <c r="Y75"/>
  <c r="AA75"/>
  <c r="AB75"/>
  <c r="AC75"/>
  <c r="AD75"/>
  <c r="AJ75" s="1"/>
  <c r="AF75"/>
  <c r="AH75"/>
  <c r="L76"/>
  <c r="P76" s="1"/>
  <c r="M76"/>
  <c r="T76"/>
  <c r="W76"/>
  <c r="Z76"/>
  <c r="AA76"/>
  <c r="AB76"/>
  <c r="AC76"/>
  <c r="AE76"/>
  <c r="AK76" s="1"/>
  <c r="AG76"/>
  <c r="AI76"/>
  <c r="L77"/>
  <c r="P77" s="1"/>
  <c r="Q77" s="1"/>
  <c r="N77"/>
  <c r="O77"/>
  <c r="T77"/>
  <c r="W77"/>
  <c r="Z77"/>
  <c r="AA77"/>
  <c r="AB77"/>
  <c r="AC77"/>
  <c r="AE77"/>
  <c r="AK77" s="1"/>
  <c r="AG77"/>
  <c r="AI77"/>
  <c r="L78"/>
  <c r="P78" s="1"/>
  <c r="N78"/>
  <c r="T78"/>
  <c r="W78"/>
  <c r="Z78"/>
  <c r="AA78"/>
  <c r="AB78"/>
  <c r="AC78"/>
  <c r="AE78"/>
  <c r="AK78" s="1"/>
  <c r="AM78" s="1"/>
  <c r="AG78"/>
  <c r="AI78"/>
  <c r="L79"/>
  <c r="M79"/>
  <c r="N79"/>
  <c r="O79"/>
  <c r="P79"/>
  <c r="Q79"/>
  <c r="X79" s="1"/>
  <c r="R79"/>
  <c r="S79"/>
  <c r="T79"/>
  <c r="V79"/>
  <c r="W79"/>
  <c r="Y79"/>
  <c r="Z79"/>
  <c r="AA79"/>
  <c r="AB79"/>
  <c r="AC79"/>
  <c r="AD79"/>
  <c r="AJ79" s="1"/>
  <c r="AL79" s="1"/>
  <c r="AE79"/>
  <c r="AK79" s="1"/>
  <c r="AM79" s="1"/>
  <c r="AF79"/>
  <c r="AG79"/>
  <c r="AH79"/>
  <c r="AI79"/>
  <c r="L80"/>
  <c r="P80" s="1"/>
  <c r="Q80" s="1"/>
  <c r="M80"/>
  <c r="R80" s="1"/>
  <c r="N80"/>
  <c r="O80"/>
  <c r="S80"/>
  <c r="T80"/>
  <c r="V80"/>
  <c r="W80"/>
  <c r="Y80"/>
  <c r="Z80"/>
  <c r="AA80"/>
  <c r="AB80"/>
  <c r="AC80"/>
  <c r="AD80"/>
  <c r="AJ80" s="1"/>
  <c r="AL80" s="1"/>
  <c r="AE80"/>
  <c r="AK80" s="1"/>
  <c r="AM80" s="1"/>
  <c r="AF80"/>
  <c r="AG80"/>
  <c r="AH80"/>
  <c r="AI80"/>
  <c r="L81"/>
  <c r="M81"/>
  <c r="N81"/>
  <c r="O81"/>
  <c r="P81"/>
  <c r="Q81"/>
  <c r="X81" s="1"/>
  <c r="R81"/>
  <c r="S81"/>
  <c r="T81"/>
  <c r="V81"/>
  <c r="W81"/>
  <c r="Y81"/>
  <c r="Z81"/>
  <c r="AA81"/>
  <c r="AB81"/>
  <c r="AC81"/>
  <c r="AD81"/>
  <c r="AJ81" s="1"/>
  <c r="AL81" s="1"/>
  <c r="AE81"/>
  <c r="AK81" s="1"/>
  <c r="AM81" s="1"/>
  <c r="AF81"/>
  <c r="AG81"/>
  <c r="AH81"/>
  <c r="AI81"/>
  <c r="L82"/>
  <c r="P82" s="1"/>
  <c r="Q82" s="1"/>
  <c r="M82"/>
  <c r="R82" s="1"/>
  <c r="N82"/>
  <c r="O82"/>
  <c r="S82"/>
  <c r="T82"/>
  <c r="V82"/>
  <c r="W82"/>
  <c r="Y82"/>
  <c r="Z82"/>
  <c r="AA82"/>
  <c r="AB82"/>
  <c r="AC82"/>
  <c r="AD82"/>
  <c r="AJ82" s="1"/>
  <c r="AL82" s="1"/>
  <c r="AE82"/>
  <c r="AK82" s="1"/>
  <c r="AM82" s="1"/>
  <c r="AF82"/>
  <c r="AG82"/>
  <c r="AH82"/>
  <c r="AI82"/>
  <c r="L83"/>
  <c r="M83"/>
  <c r="N83"/>
  <c r="O83"/>
  <c r="P83"/>
  <c r="Q83"/>
  <c r="X83" s="1"/>
  <c r="R83"/>
  <c r="S83"/>
  <c r="T83"/>
  <c r="V83"/>
  <c r="W83"/>
  <c r="Y83"/>
  <c r="Z83"/>
  <c r="AA83"/>
  <c r="AB83"/>
  <c r="AC83"/>
  <c r="AD83"/>
  <c r="AJ83" s="1"/>
  <c r="AL83" s="1"/>
  <c r="AE83"/>
  <c r="AK83" s="1"/>
  <c r="AM83" s="1"/>
  <c r="AF83"/>
  <c r="AG83"/>
  <c r="AH83"/>
  <c r="AI83"/>
  <c r="L84"/>
  <c r="P84" s="1"/>
  <c r="Q84" s="1"/>
  <c r="M84"/>
  <c r="R84" s="1"/>
  <c r="N84"/>
  <c r="O84"/>
  <c r="S84"/>
  <c r="T84"/>
  <c r="V84"/>
  <c r="W84"/>
  <c r="Y84"/>
  <c r="Z84"/>
  <c r="AA84"/>
  <c r="AB84"/>
  <c r="AC84"/>
  <c r="AD84"/>
  <c r="AJ84" s="1"/>
  <c r="AL84" s="1"/>
  <c r="AE84"/>
  <c r="AK84" s="1"/>
  <c r="AM84" s="1"/>
  <c r="AF84"/>
  <c r="AG84"/>
  <c r="AH84"/>
  <c r="AI84"/>
  <c r="L85"/>
  <c r="M85"/>
  <c r="N85"/>
  <c r="O85"/>
  <c r="P85"/>
  <c r="Q85"/>
  <c r="X85" s="1"/>
  <c r="R85"/>
  <c r="S85"/>
  <c r="T85"/>
  <c r="V85"/>
  <c r="W85"/>
  <c r="Y85"/>
  <c r="Z85"/>
  <c r="AA85"/>
  <c r="AB85"/>
  <c r="AC85"/>
  <c r="AD85"/>
  <c r="AJ85" s="1"/>
  <c r="AL85" s="1"/>
  <c r="AE85"/>
  <c r="AK85" s="1"/>
  <c r="AM85" s="1"/>
  <c r="AF85"/>
  <c r="AG85"/>
  <c r="AH85"/>
  <c r="AI85"/>
  <c r="L86"/>
  <c r="P86" s="1"/>
  <c r="Q86" s="1"/>
  <c r="M86"/>
  <c r="R86" s="1"/>
  <c r="N86"/>
  <c r="O86"/>
  <c r="S86"/>
  <c r="T86"/>
  <c r="V86"/>
  <c r="W86"/>
  <c r="Y86"/>
  <c r="Z86"/>
  <c r="AA86"/>
  <c r="AB86"/>
  <c r="AC86"/>
  <c r="AD86"/>
  <c r="AJ86" s="1"/>
  <c r="AL86" s="1"/>
  <c r="AE86"/>
  <c r="AK86" s="1"/>
  <c r="AM86" s="1"/>
  <c r="AF86"/>
  <c r="AG86"/>
  <c r="AH86"/>
  <c r="AI86"/>
  <c r="L87"/>
  <c r="M87"/>
  <c r="N87"/>
  <c r="O87"/>
  <c r="P87"/>
  <c r="Q87"/>
  <c r="X87" s="1"/>
  <c r="R87"/>
  <c r="S87"/>
  <c r="T87"/>
  <c r="V87"/>
  <c r="W87"/>
  <c r="Y87"/>
  <c r="Z87"/>
  <c r="AA87"/>
  <c r="AB87"/>
  <c r="AC87"/>
  <c r="AD87"/>
  <c r="AJ87" s="1"/>
  <c r="AL87" s="1"/>
  <c r="AE87"/>
  <c r="AK87" s="1"/>
  <c r="AM87" s="1"/>
  <c r="AF87"/>
  <c r="AG87"/>
  <c r="AH87"/>
  <c r="AI87"/>
  <c r="L88"/>
  <c r="P88" s="1"/>
  <c r="Q88" s="1"/>
  <c r="M88"/>
  <c r="R88" s="1"/>
  <c r="N88"/>
  <c r="O88"/>
  <c r="S88"/>
  <c r="T88"/>
  <c r="V88"/>
  <c r="W88"/>
  <c r="Y88"/>
  <c r="Z88"/>
  <c r="AA88"/>
  <c r="AB88"/>
  <c r="AC88"/>
  <c r="AD88"/>
  <c r="AJ88" s="1"/>
  <c r="AL88" s="1"/>
  <c r="AE88"/>
  <c r="AK88" s="1"/>
  <c r="AM88" s="1"/>
  <c r="AF88"/>
  <c r="AG88"/>
  <c r="AH88"/>
  <c r="AI88"/>
  <c r="L89"/>
  <c r="M89"/>
  <c r="N89"/>
  <c r="O89"/>
  <c r="P89"/>
  <c r="Q89"/>
  <c r="X89" s="1"/>
  <c r="R89"/>
  <c r="S89"/>
  <c r="T89"/>
  <c r="V89"/>
  <c r="W89"/>
  <c r="Y89"/>
  <c r="Z89"/>
  <c r="AA89"/>
  <c r="AB89"/>
  <c r="AC89"/>
  <c r="AD89"/>
  <c r="AJ89" s="1"/>
  <c r="AL89" s="1"/>
  <c r="AE89"/>
  <c r="AK89" s="1"/>
  <c r="AM89" s="1"/>
  <c r="AF89"/>
  <c r="AG89"/>
  <c r="AH89"/>
  <c r="AI89"/>
  <c r="L90"/>
  <c r="P90" s="1"/>
  <c r="Q90" s="1"/>
  <c r="M90"/>
  <c r="R90" s="1"/>
  <c r="N90"/>
  <c r="O90"/>
  <c r="S90"/>
  <c r="T90"/>
  <c r="V90"/>
  <c r="W90"/>
  <c r="Y90"/>
  <c r="Z90"/>
  <c r="AA90"/>
  <c r="AB90"/>
  <c r="AC90"/>
  <c r="AD90"/>
  <c r="AJ90" s="1"/>
  <c r="AL90" s="1"/>
  <c r="AE90"/>
  <c r="AK90" s="1"/>
  <c r="AM90" s="1"/>
  <c r="AF90"/>
  <c r="AG90"/>
  <c r="AH90"/>
  <c r="AI90"/>
  <c r="L91"/>
  <c r="M91"/>
  <c r="N91"/>
  <c r="O91"/>
  <c r="P91"/>
  <c r="Q91"/>
  <c r="X91" s="1"/>
  <c r="R91"/>
  <c r="S91"/>
  <c r="T91"/>
  <c r="V91"/>
  <c r="W91"/>
  <c r="Y91"/>
  <c r="Z91"/>
  <c r="AA91"/>
  <c r="AB91"/>
  <c r="AC91"/>
  <c r="AD91"/>
  <c r="AJ91" s="1"/>
  <c r="AL91" s="1"/>
  <c r="AE91"/>
  <c r="AK91" s="1"/>
  <c r="AM91" s="1"/>
  <c r="AF91"/>
  <c r="AG91"/>
  <c r="AH91"/>
  <c r="AI91"/>
  <c r="L92"/>
  <c r="P92" s="1"/>
  <c r="Q92" s="1"/>
  <c r="M92"/>
  <c r="R92" s="1"/>
  <c r="N92"/>
  <c r="O92"/>
  <c r="S92"/>
  <c r="T92"/>
  <c r="V92"/>
  <c r="W92"/>
  <c r="Y92"/>
  <c r="Z92"/>
  <c r="AA92"/>
  <c r="AB92"/>
  <c r="AC92"/>
  <c r="AD92"/>
  <c r="AJ92" s="1"/>
  <c r="AL92" s="1"/>
  <c r="AE92"/>
  <c r="AK92" s="1"/>
  <c r="AM92" s="1"/>
  <c r="AF92"/>
  <c r="AG92"/>
  <c r="AH92"/>
  <c r="AI92"/>
  <c r="L93"/>
  <c r="M93" s="1"/>
  <c r="R93" s="1"/>
  <c r="N93"/>
  <c r="O93"/>
  <c r="P93"/>
  <c r="Q93"/>
  <c r="S93"/>
  <c r="T93"/>
  <c r="V93"/>
  <c r="W93"/>
  <c r="Y93"/>
  <c r="Z93"/>
  <c r="AA93"/>
  <c r="AB93"/>
  <c r="AC93"/>
  <c r="AD93"/>
  <c r="AJ93" s="1"/>
  <c r="AL93" s="1"/>
  <c r="AE93"/>
  <c r="AK93" s="1"/>
  <c r="AM93" s="1"/>
  <c r="AF93"/>
  <c r="AG93"/>
  <c r="AH93"/>
  <c r="AI93"/>
  <c r="L94"/>
  <c r="P94" s="1"/>
  <c r="Q94" s="1"/>
  <c r="M94"/>
  <c r="R94" s="1"/>
  <c r="N94"/>
  <c r="O94"/>
  <c r="S94"/>
  <c r="T94"/>
  <c r="V94"/>
  <c r="W94"/>
  <c r="Y94"/>
  <c r="Z94"/>
  <c r="AA94"/>
  <c r="AB94"/>
  <c r="AC94"/>
  <c r="AD94"/>
  <c r="AJ94" s="1"/>
  <c r="AL94" s="1"/>
  <c r="AE94"/>
  <c r="AF94"/>
  <c r="AG94"/>
  <c r="AH94"/>
  <c r="AI94"/>
  <c r="AK94"/>
  <c r="AM94" s="1"/>
  <c r="L95"/>
  <c r="M95" s="1"/>
  <c r="R95" s="1"/>
  <c r="N95"/>
  <c r="O95"/>
  <c r="P95"/>
  <c r="Q95"/>
  <c r="S95"/>
  <c r="T95"/>
  <c r="V95"/>
  <c r="W95"/>
  <c r="Y95"/>
  <c r="Z95"/>
  <c r="AA95"/>
  <c r="AB95"/>
  <c r="AC95"/>
  <c r="AD95"/>
  <c r="AJ95" s="1"/>
  <c r="AL95" s="1"/>
  <c r="AE95"/>
  <c r="AK95" s="1"/>
  <c r="AM95" s="1"/>
  <c r="AF95"/>
  <c r="AG95"/>
  <c r="AH95"/>
  <c r="AI95"/>
  <c r="L96"/>
  <c r="P96" s="1"/>
  <c r="Q96" s="1"/>
  <c r="M96"/>
  <c r="R96" s="1"/>
  <c r="N96"/>
  <c r="O96"/>
  <c r="S96"/>
  <c r="T96"/>
  <c r="V96"/>
  <c r="W96"/>
  <c r="Y96"/>
  <c r="Z96"/>
  <c r="AA96"/>
  <c r="AB96"/>
  <c r="AC96"/>
  <c r="AD96"/>
  <c r="AJ96" s="1"/>
  <c r="AL96" s="1"/>
  <c r="AE96"/>
  <c r="AF96"/>
  <c r="AG96"/>
  <c r="AH96"/>
  <c r="AI96"/>
  <c r="AK96"/>
  <c r="AM96" s="1"/>
  <c r="L97"/>
  <c r="M97" s="1"/>
  <c r="R97" s="1"/>
  <c r="N97"/>
  <c r="O97"/>
  <c r="P97"/>
  <c r="Q97"/>
  <c r="S97"/>
  <c r="T97"/>
  <c r="V97"/>
  <c r="W97"/>
  <c r="Y97"/>
  <c r="Z97"/>
  <c r="AA97"/>
  <c r="AB97"/>
  <c r="AC97"/>
  <c r="AD97"/>
  <c r="AJ97" s="1"/>
  <c r="AL97" s="1"/>
  <c r="AE97"/>
  <c r="AK97" s="1"/>
  <c r="AM97" s="1"/>
  <c r="AF97"/>
  <c r="AG97"/>
  <c r="AH97"/>
  <c r="AI97"/>
  <c r="L98"/>
  <c r="P98" s="1"/>
  <c r="Q98" s="1"/>
  <c r="M98"/>
  <c r="R98" s="1"/>
  <c r="N98"/>
  <c r="O98"/>
  <c r="S98"/>
  <c r="T98"/>
  <c r="V98"/>
  <c r="W98"/>
  <c r="Y98"/>
  <c r="Z98"/>
  <c r="AA98"/>
  <c r="AB98"/>
  <c r="AC98"/>
  <c r="AD98"/>
  <c r="AJ98" s="1"/>
  <c r="AL98" s="1"/>
  <c r="AE98"/>
  <c r="AF98"/>
  <c r="AG98"/>
  <c r="AH98"/>
  <c r="AI98"/>
  <c r="AK98"/>
  <c r="AM98" s="1"/>
  <c r="L99"/>
  <c r="M99" s="1"/>
  <c r="R99" s="1"/>
  <c r="N99"/>
  <c r="O99"/>
  <c r="P99"/>
  <c r="Q99"/>
  <c r="S99"/>
  <c r="T99"/>
  <c r="V99"/>
  <c r="W99"/>
  <c r="Y99"/>
  <c r="Z99"/>
  <c r="AA99"/>
  <c r="AB99"/>
  <c r="AC99"/>
  <c r="AD99"/>
  <c r="AJ99" s="1"/>
  <c r="AL99" s="1"/>
  <c r="AE99"/>
  <c r="AK99" s="1"/>
  <c r="AM99" s="1"/>
  <c r="AF99"/>
  <c r="AG99"/>
  <c r="AH99"/>
  <c r="AI99"/>
  <c r="L100"/>
  <c r="P100" s="1"/>
  <c r="Q100" s="1"/>
  <c r="M100"/>
  <c r="R100" s="1"/>
  <c r="N100"/>
  <c r="O100"/>
  <c r="S100"/>
  <c r="T100"/>
  <c r="V100"/>
  <c r="W100"/>
  <c r="Y100"/>
  <c r="Z100"/>
  <c r="AA100"/>
  <c r="AB100"/>
  <c r="AC100"/>
  <c r="AD100"/>
  <c r="AJ100" s="1"/>
  <c r="AL100" s="1"/>
  <c r="AE100"/>
  <c r="AF100"/>
  <c r="AG100"/>
  <c r="AH100"/>
  <c r="AI100"/>
  <c r="AK100"/>
  <c r="AM100" s="1"/>
  <c r="L101"/>
  <c r="M101" s="1"/>
  <c r="R101" s="1"/>
  <c r="N101"/>
  <c r="O101"/>
  <c r="P101"/>
  <c r="Q101"/>
  <c r="S101"/>
  <c r="T101"/>
  <c r="V101"/>
  <c r="W101"/>
  <c r="Y101"/>
  <c r="Z101"/>
  <c r="AA101"/>
  <c r="AB101"/>
  <c r="AC101"/>
  <c r="AD101"/>
  <c r="AJ101" s="1"/>
  <c r="AL101" s="1"/>
  <c r="AE101"/>
  <c r="AK101" s="1"/>
  <c r="AM101" s="1"/>
  <c r="AF101"/>
  <c r="AG101"/>
  <c r="AH101"/>
  <c r="AI101"/>
  <c r="L102"/>
  <c r="P102" s="1"/>
  <c r="Q102" s="1"/>
  <c r="M102"/>
  <c r="R102" s="1"/>
  <c r="N102"/>
  <c r="O102"/>
  <c r="S102"/>
  <c r="T102"/>
  <c r="V102"/>
  <c r="W102"/>
  <c r="Y102"/>
  <c r="Z102"/>
  <c r="AA102"/>
  <c r="AB102"/>
  <c r="AC102"/>
  <c r="AD102"/>
  <c r="AJ102" s="1"/>
  <c r="AL102" s="1"/>
  <c r="AE102"/>
  <c r="AF102"/>
  <c r="AG102"/>
  <c r="AH102"/>
  <c r="AI102"/>
  <c r="AK102"/>
  <c r="AM102" s="1"/>
  <c r="L103"/>
  <c r="M103" s="1"/>
  <c r="R103" s="1"/>
  <c r="N103"/>
  <c r="O103"/>
  <c r="P103"/>
  <c r="Q103"/>
  <c r="S103"/>
  <c r="T103"/>
  <c r="V103"/>
  <c r="W103"/>
  <c r="Y103"/>
  <c r="Z103"/>
  <c r="AA103"/>
  <c r="AB103"/>
  <c r="AC103"/>
  <c r="AD103"/>
  <c r="AJ103" s="1"/>
  <c r="AL103" s="1"/>
  <c r="AE103"/>
  <c r="AK103" s="1"/>
  <c r="AM103" s="1"/>
  <c r="AF103"/>
  <c r="AG103"/>
  <c r="AH103"/>
  <c r="AI103"/>
  <c r="L104"/>
  <c r="P104" s="1"/>
  <c r="Q104" s="1"/>
  <c r="M104"/>
  <c r="R104" s="1"/>
  <c r="N104"/>
  <c r="O104"/>
  <c r="S104"/>
  <c r="T104"/>
  <c r="V104"/>
  <c r="W104"/>
  <c r="Y104"/>
  <c r="Z104"/>
  <c r="AA104"/>
  <c r="AB104"/>
  <c r="AC104"/>
  <c r="AD104"/>
  <c r="AJ104" s="1"/>
  <c r="AL104" s="1"/>
  <c r="AE104"/>
  <c r="AF104"/>
  <c r="AG104"/>
  <c r="AH104"/>
  <c r="AI104"/>
  <c r="AK104"/>
  <c r="AM104" s="1"/>
  <c r="L105"/>
  <c r="M105" s="1"/>
  <c r="R105" s="1"/>
  <c r="N105"/>
  <c r="O105"/>
  <c r="P105"/>
  <c r="Q105"/>
  <c r="S105"/>
  <c r="T105"/>
  <c r="V105"/>
  <c r="W105"/>
  <c r="Y105"/>
  <c r="Z105"/>
  <c r="AA105"/>
  <c r="AB105"/>
  <c r="AC105"/>
  <c r="AD105"/>
  <c r="AJ105" s="1"/>
  <c r="AL105" s="1"/>
  <c r="AE105"/>
  <c r="AK105" s="1"/>
  <c r="AM105" s="1"/>
  <c r="AF105"/>
  <c r="AG105"/>
  <c r="AH105"/>
  <c r="AI105"/>
  <c r="L106"/>
  <c r="P106" s="1"/>
  <c r="Q106" s="1"/>
  <c r="M106"/>
  <c r="R106" s="1"/>
  <c r="N106"/>
  <c r="O106"/>
  <c r="S106"/>
  <c r="T106"/>
  <c r="V106"/>
  <c r="W106"/>
  <c r="Y106"/>
  <c r="Z106"/>
  <c r="AA106"/>
  <c r="AB106"/>
  <c r="AC106"/>
  <c r="AD106"/>
  <c r="AJ106" s="1"/>
  <c r="AL106" s="1"/>
  <c r="AE106"/>
  <c r="AF106"/>
  <c r="AG106"/>
  <c r="AH106"/>
  <c r="AI106"/>
  <c r="AK106"/>
  <c r="AM106" s="1"/>
  <c r="L107"/>
  <c r="M107" s="1"/>
  <c r="R107" s="1"/>
  <c r="N107"/>
  <c r="O107"/>
  <c r="P107"/>
  <c r="Q107"/>
  <c r="S107"/>
  <c r="T107"/>
  <c r="V107"/>
  <c r="W107"/>
  <c r="Y107"/>
  <c r="Z107"/>
  <c r="AA107"/>
  <c r="AB107"/>
  <c r="AC107"/>
  <c r="AD107"/>
  <c r="AJ107" s="1"/>
  <c r="AL107" s="1"/>
  <c r="AE107"/>
  <c r="AK107" s="1"/>
  <c r="AM107" s="1"/>
  <c r="AF107"/>
  <c r="AG107"/>
  <c r="AH107"/>
  <c r="AI107"/>
  <c r="L108"/>
  <c r="P108" s="1"/>
  <c r="Q108" s="1"/>
  <c r="M108"/>
  <c r="R108" s="1"/>
  <c r="N108"/>
  <c r="O108"/>
  <c r="S108"/>
  <c r="T108"/>
  <c r="V108"/>
  <c r="W108"/>
  <c r="Y108"/>
  <c r="Z108"/>
  <c r="AA108"/>
  <c r="AB108"/>
  <c r="AC108"/>
  <c r="AD108"/>
  <c r="AJ108" s="1"/>
  <c r="AL108" s="1"/>
  <c r="AE108"/>
  <c r="AF108"/>
  <c r="AG108"/>
  <c r="AH108"/>
  <c r="AI108"/>
  <c r="AK108"/>
  <c r="AM108" s="1"/>
  <c r="L109"/>
  <c r="M109" s="1"/>
  <c r="R109" s="1"/>
  <c r="N109"/>
  <c r="O109"/>
  <c r="P109"/>
  <c r="Q109"/>
  <c r="S109"/>
  <c r="T109"/>
  <c r="V109"/>
  <c r="W109"/>
  <c r="Y109"/>
  <c r="Z109"/>
  <c r="AA109"/>
  <c r="AB109"/>
  <c r="AC109"/>
  <c r="AD109"/>
  <c r="AJ109" s="1"/>
  <c r="AL109" s="1"/>
  <c r="AE109"/>
  <c r="AK109" s="1"/>
  <c r="AM109" s="1"/>
  <c r="AF109"/>
  <c r="AG109"/>
  <c r="AH109"/>
  <c r="AI109"/>
  <c r="L110"/>
  <c r="P110" s="1"/>
  <c r="Q110" s="1"/>
  <c r="M110"/>
  <c r="R110" s="1"/>
  <c r="N110"/>
  <c r="O110"/>
  <c r="S110"/>
  <c r="T110"/>
  <c r="V110"/>
  <c r="W110"/>
  <c r="Y110"/>
  <c r="Z110"/>
  <c r="AA110"/>
  <c r="AB110"/>
  <c r="AC110"/>
  <c r="AD110"/>
  <c r="AJ110" s="1"/>
  <c r="AL110" s="1"/>
  <c r="AE110"/>
  <c r="AF110"/>
  <c r="AG110"/>
  <c r="AH110"/>
  <c r="AI110"/>
  <c r="AK110"/>
  <c r="AM110" s="1"/>
  <c r="L111"/>
  <c r="M111" s="1"/>
  <c r="R111" s="1"/>
  <c r="N111"/>
  <c r="O111"/>
  <c r="P111"/>
  <c r="Q111"/>
  <c r="S111"/>
  <c r="T111"/>
  <c r="V111"/>
  <c r="W111"/>
  <c r="Y111"/>
  <c r="Z111"/>
  <c r="AA111"/>
  <c r="AB111"/>
  <c r="AC111"/>
  <c r="AD111"/>
  <c r="AJ111" s="1"/>
  <c r="AL111" s="1"/>
  <c r="AE111"/>
  <c r="AK111" s="1"/>
  <c r="AM111" s="1"/>
  <c r="AF111"/>
  <c r="AG111"/>
  <c r="AH111"/>
  <c r="AI111"/>
  <c r="L112"/>
  <c r="P112" s="1"/>
  <c r="Q112" s="1"/>
  <c r="M112"/>
  <c r="R112" s="1"/>
  <c r="N112"/>
  <c r="O112"/>
  <c r="S112"/>
  <c r="T112"/>
  <c r="V112"/>
  <c r="W112"/>
  <c r="Y112"/>
  <c r="Z112"/>
  <c r="AA112"/>
  <c r="AB112"/>
  <c r="AC112"/>
  <c r="AD112"/>
  <c r="AJ112" s="1"/>
  <c r="AL112" s="1"/>
  <c r="AE112"/>
  <c r="AF112"/>
  <c r="AG112"/>
  <c r="AH112"/>
  <c r="AI112"/>
  <c r="AK112"/>
  <c r="AM112" s="1"/>
  <c r="L113"/>
  <c r="M113" s="1"/>
  <c r="R113" s="1"/>
  <c r="N113"/>
  <c r="O113"/>
  <c r="P113"/>
  <c r="Q113"/>
  <c r="S113"/>
  <c r="T113"/>
  <c r="V113"/>
  <c r="W113"/>
  <c r="Y113"/>
  <c r="Z113"/>
  <c r="AA113"/>
  <c r="AB113"/>
  <c r="AC113"/>
  <c r="AD113"/>
  <c r="AJ113" s="1"/>
  <c r="AL113" s="1"/>
  <c r="AE113"/>
  <c r="AK113" s="1"/>
  <c r="AM113" s="1"/>
  <c r="AF113"/>
  <c r="AG113"/>
  <c r="AH113"/>
  <c r="AI113"/>
  <c r="L114"/>
  <c r="P114" s="1"/>
  <c r="Q114" s="1"/>
  <c r="M114"/>
  <c r="R114" s="1"/>
  <c r="N114"/>
  <c r="O114"/>
  <c r="S114"/>
  <c r="T114"/>
  <c r="V114"/>
  <c r="W114"/>
  <c r="Y114"/>
  <c r="Z114"/>
  <c r="AA114"/>
  <c r="AB114"/>
  <c r="AC114"/>
  <c r="AD114"/>
  <c r="AJ114" s="1"/>
  <c r="AL114" s="1"/>
  <c r="AE114"/>
  <c r="AF114"/>
  <c r="AG114"/>
  <c r="AH114"/>
  <c r="AI114"/>
  <c r="AK114"/>
  <c r="AM114" s="1"/>
  <c r="L115"/>
  <c r="M115" s="1"/>
  <c r="R115" s="1"/>
  <c r="N115"/>
  <c r="O115"/>
  <c r="P115"/>
  <c r="Q115"/>
  <c r="S115"/>
  <c r="T115"/>
  <c r="V115"/>
  <c r="W115"/>
  <c r="Y115"/>
  <c r="Z115"/>
  <c r="AA115"/>
  <c r="AB115"/>
  <c r="AC115"/>
  <c r="AD115"/>
  <c r="AJ115" s="1"/>
  <c r="AL115" s="1"/>
  <c r="AE115"/>
  <c r="AK115" s="1"/>
  <c r="AM115" s="1"/>
  <c r="AF115"/>
  <c r="AG115"/>
  <c r="AH115"/>
  <c r="AI115"/>
  <c r="L116"/>
  <c r="P116" s="1"/>
  <c r="Q116" s="1"/>
  <c r="M116"/>
  <c r="R116" s="1"/>
  <c r="N116"/>
  <c r="O116"/>
  <c r="S116"/>
  <c r="T116"/>
  <c r="V116"/>
  <c r="W116"/>
  <c r="Y116"/>
  <c r="Z116"/>
  <c r="AA116"/>
  <c r="AB116"/>
  <c r="AC116"/>
  <c r="AD116"/>
  <c r="AJ116" s="1"/>
  <c r="AL116" s="1"/>
  <c r="AE116"/>
  <c r="AF116"/>
  <c r="AG116"/>
  <c r="AH116"/>
  <c r="AI116"/>
  <c r="AK116"/>
  <c r="AM116" s="1"/>
  <c r="L117"/>
  <c r="M117" s="1"/>
  <c r="R117" s="1"/>
  <c r="N117"/>
  <c r="O117"/>
  <c r="P117"/>
  <c r="Q117"/>
  <c r="S117"/>
  <c r="T117"/>
  <c r="V117"/>
  <c r="W117"/>
  <c r="Y117"/>
  <c r="Z117"/>
  <c r="AA117"/>
  <c r="AB117"/>
  <c r="AC117"/>
  <c r="AD117"/>
  <c r="AJ117" s="1"/>
  <c r="AL117" s="1"/>
  <c r="AE117"/>
  <c r="AK117" s="1"/>
  <c r="AM117" s="1"/>
  <c r="AF117"/>
  <c r="AG117"/>
  <c r="AH117"/>
  <c r="AI117"/>
  <c r="L118"/>
  <c r="P118" s="1"/>
  <c r="Q118" s="1"/>
  <c r="M118"/>
  <c r="R118" s="1"/>
  <c r="N118"/>
  <c r="O118"/>
  <c r="S118"/>
  <c r="T118"/>
  <c r="V118"/>
  <c r="W118"/>
  <c r="Y118"/>
  <c r="Z118"/>
  <c r="AA118"/>
  <c r="AB118"/>
  <c r="AC118"/>
  <c r="AD118"/>
  <c r="AJ118" s="1"/>
  <c r="AL118" s="1"/>
  <c r="AE118"/>
  <c r="AF118"/>
  <c r="AG118"/>
  <c r="AH118"/>
  <c r="AI118"/>
  <c r="AK118"/>
  <c r="AM118" s="1"/>
  <c r="L119"/>
  <c r="M119" s="1"/>
  <c r="R119" s="1"/>
  <c r="N119"/>
  <c r="O119"/>
  <c r="P119"/>
  <c r="Q119"/>
  <c r="S119"/>
  <c r="T119"/>
  <c r="V119"/>
  <c r="W119"/>
  <c r="Y119"/>
  <c r="Z119"/>
  <c r="AA119"/>
  <c r="AB119"/>
  <c r="AC119"/>
  <c r="AD119"/>
  <c r="AJ119" s="1"/>
  <c r="AL119" s="1"/>
  <c r="AE119"/>
  <c r="AK119" s="1"/>
  <c r="AM119" s="1"/>
  <c r="AF119"/>
  <c r="AG119"/>
  <c r="AH119"/>
  <c r="AI119"/>
  <c r="L120"/>
  <c r="P120" s="1"/>
  <c r="Q120" s="1"/>
  <c r="M120"/>
  <c r="R120" s="1"/>
  <c r="N120"/>
  <c r="O120"/>
  <c r="S120"/>
  <c r="T120"/>
  <c r="V120"/>
  <c r="W120"/>
  <c r="Y120"/>
  <c r="Z120"/>
  <c r="AA120"/>
  <c r="AB120"/>
  <c r="AC120"/>
  <c r="AD120"/>
  <c r="AJ120" s="1"/>
  <c r="AL120" s="1"/>
  <c r="AE120"/>
  <c r="AF120"/>
  <c r="AG120"/>
  <c r="AH120"/>
  <c r="AI120"/>
  <c r="AK120"/>
  <c r="AM120" s="1"/>
  <c r="L121"/>
  <c r="M121" s="1"/>
  <c r="R121" s="1"/>
  <c r="N121"/>
  <c r="O121"/>
  <c r="P121"/>
  <c r="Q121"/>
  <c r="S121"/>
  <c r="T121"/>
  <c r="V121"/>
  <c r="W121"/>
  <c r="Y121"/>
  <c r="Z121"/>
  <c r="AA121"/>
  <c r="AB121"/>
  <c r="AC121"/>
  <c r="AD121"/>
  <c r="AJ121" s="1"/>
  <c r="AL121" s="1"/>
  <c r="AE121"/>
  <c r="AK121" s="1"/>
  <c r="AM121" s="1"/>
  <c r="AF121"/>
  <c r="AG121"/>
  <c r="AH121"/>
  <c r="AI121"/>
  <c r="L122"/>
  <c r="P122" s="1"/>
  <c r="Q122" s="1"/>
  <c r="M122"/>
  <c r="R122" s="1"/>
  <c r="N122"/>
  <c r="O122"/>
  <c r="S122"/>
  <c r="T122"/>
  <c r="V122"/>
  <c r="W122"/>
  <c r="Y122"/>
  <c r="Z122"/>
  <c r="AA122"/>
  <c r="AB122"/>
  <c r="AC122"/>
  <c r="AD122"/>
  <c r="AJ122" s="1"/>
  <c r="AL122" s="1"/>
  <c r="AE122"/>
  <c r="AF122"/>
  <c r="AG122"/>
  <c r="AH122"/>
  <c r="AI122"/>
  <c r="AK122"/>
  <c r="AM122" s="1"/>
  <c r="L123"/>
  <c r="M123" s="1"/>
  <c r="R123" s="1"/>
  <c r="N123"/>
  <c r="O123"/>
  <c r="P123"/>
  <c r="Q123"/>
  <c r="S123"/>
  <c r="T123"/>
  <c r="V123"/>
  <c r="W123"/>
  <c r="Y123"/>
  <c r="Z123"/>
  <c r="AA123"/>
  <c r="AB123"/>
  <c r="AC123"/>
  <c r="AD123"/>
  <c r="AJ123" s="1"/>
  <c r="AL123" s="1"/>
  <c r="AE123"/>
  <c r="AK123" s="1"/>
  <c r="AM123" s="1"/>
  <c r="AF123"/>
  <c r="AG123"/>
  <c r="AH123"/>
  <c r="AI123"/>
  <c r="L124"/>
  <c r="P124" s="1"/>
  <c r="Q124" s="1"/>
  <c r="M124"/>
  <c r="R124" s="1"/>
  <c r="N124"/>
  <c r="O124"/>
  <c r="S124"/>
  <c r="T124"/>
  <c r="V124"/>
  <c r="W124"/>
  <c r="Y124"/>
  <c r="Z124"/>
  <c r="AA124"/>
  <c r="AB124"/>
  <c r="AC124"/>
  <c r="AD124"/>
  <c r="AJ124" s="1"/>
  <c r="AL124" s="1"/>
  <c r="AE124"/>
  <c r="AF124"/>
  <c r="AG124"/>
  <c r="AH124"/>
  <c r="AI124"/>
  <c r="AK124"/>
  <c r="AM124" s="1"/>
  <c r="L125"/>
  <c r="M125" s="1"/>
  <c r="R125" s="1"/>
  <c r="N125"/>
  <c r="O125"/>
  <c r="P125"/>
  <c r="Q125"/>
  <c r="S125"/>
  <c r="T125"/>
  <c r="V125"/>
  <c r="W125"/>
  <c r="Y125"/>
  <c r="Z125"/>
  <c r="AA125"/>
  <c r="AB125"/>
  <c r="AC125"/>
  <c r="AD125"/>
  <c r="AJ125" s="1"/>
  <c r="AL125" s="1"/>
  <c r="AE125"/>
  <c r="AK125" s="1"/>
  <c r="AM125" s="1"/>
  <c r="AF125"/>
  <c r="AG125"/>
  <c r="AH125"/>
  <c r="AI125"/>
  <c r="L126"/>
  <c r="P126" s="1"/>
  <c r="Q126" s="1"/>
  <c r="M126"/>
  <c r="R126" s="1"/>
  <c r="N126"/>
  <c r="O126"/>
  <c r="S126"/>
  <c r="T126"/>
  <c r="V126"/>
  <c r="W126"/>
  <c r="Y126"/>
  <c r="Z126"/>
  <c r="AA126"/>
  <c r="AB126"/>
  <c r="AC126"/>
  <c r="AD126"/>
  <c r="AJ126" s="1"/>
  <c r="AL126" s="1"/>
  <c r="AE126"/>
  <c r="AF126"/>
  <c r="AG126"/>
  <c r="AH126"/>
  <c r="AI126"/>
  <c r="AK126"/>
  <c r="AM126" s="1"/>
  <c r="L127"/>
  <c r="M127" s="1"/>
  <c r="R127" s="1"/>
  <c r="N127"/>
  <c r="O127"/>
  <c r="P127"/>
  <c r="Q127"/>
  <c r="S127"/>
  <c r="T127"/>
  <c r="V127"/>
  <c r="W127"/>
  <c r="Y127"/>
  <c r="Z127"/>
  <c r="AA127"/>
  <c r="AB127"/>
  <c r="AC127"/>
  <c r="AD127"/>
  <c r="AJ127" s="1"/>
  <c r="AL127" s="1"/>
  <c r="AE127"/>
  <c r="AK127" s="1"/>
  <c r="AM127" s="1"/>
  <c r="AF127"/>
  <c r="AG127"/>
  <c r="AH127"/>
  <c r="AI127"/>
  <c r="L128"/>
  <c r="P128" s="1"/>
  <c r="Q128" s="1"/>
  <c r="M128"/>
  <c r="R128" s="1"/>
  <c r="N128"/>
  <c r="O128"/>
  <c r="S128"/>
  <c r="T128"/>
  <c r="V128"/>
  <c r="W128"/>
  <c r="Y128"/>
  <c r="Z128"/>
  <c r="AA128"/>
  <c r="AB128"/>
  <c r="AC128"/>
  <c r="AD128"/>
  <c r="AJ128" s="1"/>
  <c r="AL128" s="1"/>
  <c r="AE128"/>
  <c r="AF128"/>
  <c r="AG128"/>
  <c r="AH128"/>
  <c r="AI128"/>
  <c r="AK128"/>
  <c r="AM128" s="1"/>
  <c r="L129"/>
  <c r="M129" s="1"/>
  <c r="R129" s="1"/>
  <c r="N129"/>
  <c r="O129"/>
  <c r="P129"/>
  <c r="Q129"/>
  <c r="S129"/>
  <c r="T129"/>
  <c r="V129"/>
  <c r="W129"/>
  <c r="Y129"/>
  <c r="Z129"/>
  <c r="AA129"/>
  <c r="AB129"/>
  <c r="AC129"/>
  <c r="AD129"/>
  <c r="AJ129" s="1"/>
  <c r="AL129" s="1"/>
  <c r="AE129"/>
  <c r="AK129" s="1"/>
  <c r="AM129" s="1"/>
  <c r="AF129"/>
  <c r="AG129"/>
  <c r="AH129"/>
  <c r="AI129"/>
  <c r="L130"/>
  <c r="P130" s="1"/>
  <c r="Q130" s="1"/>
  <c r="M130"/>
  <c r="R130" s="1"/>
  <c r="N130"/>
  <c r="O130"/>
  <c r="S130"/>
  <c r="T130"/>
  <c r="V130"/>
  <c r="W130"/>
  <c r="Y130"/>
  <c r="Z130"/>
  <c r="AA130"/>
  <c r="AB130"/>
  <c r="AC130"/>
  <c r="AD130"/>
  <c r="AJ130" s="1"/>
  <c r="AL130" s="1"/>
  <c r="AE130"/>
  <c r="AF130"/>
  <c r="AG130"/>
  <c r="AH130"/>
  <c r="AI130"/>
  <c r="AK130"/>
  <c r="AM130" s="1"/>
  <c r="L131"/>
  <c r="M131" s="1"/>
  <c r="R131" s="1"/>
  <c r="N131"/>
  <c r="O131"/>
  <c r="P131"/>
  <c r="Q131"/>
  <c r="S131"/>
  <c r="T131"/>
  <c r="V131"/>
  <c r="W131"/>
  <c r="Y131"/>
  <c r="Z131"/>
  <c r="AA131"/>
  <c r="AB131"/>
  <c r="AC131"/>
  <c r="AD131"/>
  <c r="AJ131" s="1"/>
  <c r="AL131" s="1"/>
  <c r="AE131"/>
  <c r="AK131" s="1"/>
  <c r="AM131" s="1"/>
  <c r="AF131"/>
  <c r="AG131"/>
  <c r="AH131"/>
  <c r="AI131"/>
  <c r="L132"/>
  <c r="P132" s="1"/>
  <c r="Q132" s="1"/>
  <c r="M132"/>
  <c r="R132" s="1"/>
  <c r="N132"/>
  <c r="O132"/>
  <c r="S132"/>
  <c r="T132"/>
  <c r="V132"/>
  <c r="W132"/>
  <c r="Y132"/>
  <c r="Z132"/>
  <c r="AA132"/>
  <c r="AB132"/>
  <c r="AC132"/>
  <c r="AD132"/>
  <c r="AJ132" s="1"/>
  <c r="AL132" s="1"/>
  <c r="AE132"/>
  <c r="AF132"/>
  <c r="AG132"/>
  <c r="AH132"/>
  <c r="AI132"/>
  <c r="AK132"/>
  <c r="AM132" s="1"/>
  <c r="L133"/>
  <c r="M133" s="1"/>
  <c r="R133" s="1"/>
  <c r="N133"/>
  <c r="O133"/>
  <c r="P133"/>
  <c r="Q133"/>
  <c r="S133"/>
  <c r="T133"/>
  <c r="V133"/>
  <c r="W133"/>
  <c r="Y133"/>
  <c r="Z133"/>
  <c r="AA133"/>
  <c r="AB133"/>
  <c r="AC133"/>
  <c r="AD133"/>
  <c r="AJ133" s="1"/>
  <c r="AL133" s="1"/>
  <c r="AE133"/>
  <c r="AK133" s="1"/>
  <c r="AM133" s="1"/>
  <c r="AF133"/>
  <c r="AG133"/>
  <c r="AH133"/>
  <c r="AI133"/>
  <c r="L134"/>
  <c r="P134" s="1"/>
  <c r="Q134" s="1"/>
  <c r="M134"/>
  <c r="R134" s="1"/>
  <c r="N134"/>
  <c r="O134"/>
  <c r="S134"/>
  <c r="T134"/>
  <c r="V134"/>
  <c r="W134"/>
  <c r="Y134"/>
  <c r="Z134"/>
  <c r="AA134"/>
  <c r="AB134"/>
  <c r="AC134"/>
  <c r="AD134"/>
  <c r="AJ134" s="1"/>
  <c r="AL134" s="1"/>
  <c r="AE134"/>
  <c r="AF134"/>
  <c r="AG134"/>
  <c r="AH134"/>
  <c r="AI134"/>
  <c r="AK134"/>
  <c r="AM134" s="1"/>
  <c r="L135"/>
  <c r="M135" s="1"/>
  <c r="R135" s="1"/>
  <c r="N135"/>
  <c r="O135"/>
  <c r="P135"/>
  <c r="Q135"/>
  <c r="S135"/>
  <c r="T135"/>
  <c r="V135"/>
  <c r="W135"/>
  <c r="Y135"/>
  <c r="Z135"/>
  <c r="AA135"/>
  <c r="AB135"/>
  <c r="AC135"/>
  <c r="AD135"/>
  <c r="AJ135" s="1"/>
  <c r="AL135" s="1"/>
  <c r="AE135"/>
  <c r="AK135" s="1"/>
  <c r="AM135" s="1"/>
  <c r="AF135"/>
  <c r="AG135"/>
  <c r="AH135"/>
  <c r="AI135"/>
  <c r="L136"/>
  <c r="P136" s="1"/>
  <c r="Q136" s="1"/>
  <c r="M136"/>
  <c r="R136" s="1"/>
  <c r="N136"/>
  <c r="O136"/>
  <c r="S136"/>
  <c r="T136"/>
  <c r="V136"/>
  <c r="W136"/>
  <c r="Y136"/>
  <c r="Z136"/>
  <c r="AA136"/>
  <c r="AB136"/>
  <c r="AC136"/>
  <c r="AD136"/>
  <c r="AJ136" s="1"/>
  <c r="AL136" s="1"/>
  <c r="AE136"/>
  <c r="AF136"/>
  <c r="AG136"/>
  <c r="AH136"/>
  <c r="AI136"/>
  <c r="AK136"/>
  <c r="AM136" s="1"/>
  <c r="L137"/>
  <c r="M137"/>
  <c r="N137"/>
  <c r="O137"/>
  <c r="P137"/>
  <c r="Q137"/>
  <c r="X137" s="1"/>
  <c r="R137"/>
  <c r="S137"/>
  <c r="T137"/>
  <c r="V137"/>
  <c r="W137"/>
  <c r="Y137"/>
  <c r="Z137"/>
  <c r="AA137"/>
  <c r="AB137"/>
  <c r="AC137"/>
  <c r="AD137"/>
  <c r="AJ137" s="1"/>
  <c r="AL137" s="1"/>
  <c r="AE137"/>
  <c r="AK137" s="1"/>
  <c r="AM137" s="1"/>
  <c r="AF137"/>
  <c r="AG137"/>
  <c r="AH137"/>
  <c r="AI137"/>
  <c r="L138"/>
  <c r="P138" s="1"/>
  <c r="Q138" s="1"/>
  <c r="M138"/>
  <c r="R138" s="1"/>
  <c r="N138"/>
  <c r="O138"/>
  <c r="S138"/>
  <c r="T138"/>
  <c r="V138"/>
  <c r="W138"/>
  <c r="Y138"/>
  <c r="Z138"/>
  <c r="AA138"/>
  <c r="AB138"/>
  <c r="AC138"/>
  <c r="AD138"/>
  <c r="AJ138" s="1"/>
  <c r="AL138" s="1"/>
  <c r="AE138"/>
  <c r="AF138"/>
  <c r="AG138"/>
  <c r="AH138"/>
  <c r="AI138"/>
  <c r="AK138"/>
  <c r="AM138" s="1"/>
  <c r="L139"/>
  <c r="M139"/>
  <c r="N139"/>
  <c r="O139"/>
  <c r="P139"/>
  <c r="Q139"/>
  <c r="X139" s="1"/>
  <c r="R139"/>
  <c r="S139"/>
  <c r="T139"/>
  <c r="V139"/>
  <c r="W139"/>
  <c r="Y139"/>
  <c r="Z139"/>
  <c r="AA139"/>
  <c r="AB139"/>
  <c r="AC139"/>
  <c r="AD139"/>
  <c r="AJ139" s="1"/>
  <c r="AL139" s="1"/>
  <c r="AE139"/>
  <c r="AK139" s="1"/>
  <c r="AM139" s="1"/>
  <c r="AF139"/>
  <c r="AG139"/>
  <c r="AH139"/>
  <c r="AI139"/>
  <c r="L140"/>
  <c r="P140" s="1"/>
  <c r="Q140" s="1"/>
  <c r="M140"/>
  <c r="R140" s="1"/>
  <c r="N140"/>
  <c r="O140"/>
  <c r="S140"/>
  <c r="T140"/>
  <c r="V140"/>
  <c r="W140"/>
  <c r="Y140"/>
  <c r="Z140"/>
  <c r="AA140"/>
  <c r="AB140"/>
  <c r="AC140"/>
  <c r="AD140"/>
  <c r="AJ140" s="1"/>
  <c r="AL140" s="1"/>
  <c r="AE140"/>
  <c r="AF140"/>
  <c r="AG140"/>
  <c r="AH140"/>
  <c r="AI140"/>
  <c r="AK140"/>
  <c r="AM140" s="1"/>
  <c r="L141"/>
  <c r="M141"/>
  <c r="N141"/>
  <c r="O141"/>
  <c r="P141"/>
  <c r="Q141"/>
  <c r="X141" s="1"/>
  <c r="R141"/>
  <c r="S141"/>
  <c r="T141"/>
  <c r="V141"/>
  <c r="W141"/>
  <c r="Y141"/>
  <c r="Z141"/>
  <c r="AA141"/>
  <c r="AB141"/>
  <c r="AC141"/>
  <c r="AD141"/>
  <c r="AJ141" s="1"/>
  <c r="AL141" s="1"/>
  <c r="AE141"/>
  <c r="AK141" s="1"/>
  <c r="AM141" s="1"/>
  <c r="AF141"/>
  <c r="AG141"/>
  <c r="AH141"/>
  <c r="AI141"/>
  <c r="L142"/>
  <c r="P142" s="1"/>
  <c r="Q142" s="1"/>
  <c r="M142"/>
  <c r="R142" s="1"/>
  <c r="N142"/>
  <c r="O142"/>
  <c r="S142"/>
  <c r="T142"/>
  <c r="V142"/>
  <c r="W142"/>
  <c r="Y142"/>
  <c r="Z142"/>
  <c r="AA142"/>
  <c r="AB142"/>
  <c r="AC142"/>
  <c r="AD142"/>
  <c r="AJ142" s="1"/>
  <c r="AL142" s="1"/>
  <c r="AE142"/>
  <c r="AF142"/>
  <c r="AG142"/>
  <c r="AH142"/>
  <c r="AI142"/>
  <c r="AK142"/>
  <c r="AM142" s="1"/>
  <c r="L143"/>
  <c r="M143"/>
  <c r="N143"/>
  <c r="O143"/>
  <c r="P143"/>
  <c r="Q143"/>
  <c r="X143" s="1"/>
  <c r="R143"/>
  <c r="S143"/>
  <c r="T143"/>
  <c r="V143"/>
  <c r="W143"/>
  <c r="Y143"/>
  <c r="Z143"/>
  <c r="AA143"/>
  <c r="AB143"/>
  <c r="AC143"/>
  <c r="AD143"/>
  <c r="AJ143" s="1"/>
  <c r="AL143" s="1"/>
  <c r="AE143"/>
  <c r="AK143" s="1"/>
  <c r="AM143" s="1"/>
  <c r="AF143"/>
  <c r="AG143"/>
  <c r="AH143"/>
  <c r="AI143"/>
  <c r="L144"/>
  <c r="P144" s="1"/>
  <c r="Q144" s="1"/>
  <c r="M144"/>
  <c r="R144" s="1"/>
  <c r="N144"/>
  <c r="O144"/>
  <c r="S144"/>
  <c r="T144"/>
  <c r="V144"/>
  <c r="W144"/>
  <c r="Y144"/>
  <c r="Z144"/>
  <c r="AA144"/>
  <c r="AB144"/>
  <c r="AC144"/>
  <c r="AD144"/>
  <c r="AJ144" s="1"/>
  <c r="AL144" s="1"/>
  <c r="AE144"/>
  <c r="AF144"/>
  <c r="AG144"/>
  <c r="AH144"/>
  <c r="AI144"/>
  <c r="AK144"/>
  <c r="AM144" s="1"/>
  <c r="M60"/>
  <c r="N60"/>
  <c r="R60"/>
  <c r="S60"/>
  <c r="T60"/>
  <c r="O60"/>
  <c r="P60"/>
  <c r="Q60" s="1"/>
  <c r="W60"/>
  <c r="AE60"/>
  <c r="AK60" s="1"/>
  <c r="AM60" s="1"/>
  <c r="AY60"/>
  <c r="Z60"/>
  <c r="AG60"/>
  <c r="AI60"/>
  <c r="BJ60"/>
  <c r="AA60"/>
  <c r="AB60"/>
  <c r="AC60"/>
  <c r="L60"/>
  <c r="AC59"/>
  <c r="AB59"/>
  <c r="AC58"/>
  <c r="AB58"/>
  <c r="AC57"/>
  <c r="AB57"/>
  <c r="AC56"/>
  <c r="AB56"/>
  <c r="AC55"/>
  <c r="AB55"/>
  <c r="AC54"/>
  <c r="AB54"/>
  <c r="AC53"/>
  <c r="AB53"/>
  <c r="AC52"/>
  <c r="AB52"/>
  <c r="AC51"/>
  <c r="AB51"/>
  <c r="AC50"/>
  <c r="AB50"/>
  <c r="AC49"/>
  <c r="AB49"/>
  <c r="AC48"/>
  <c r="AB48"/>
  <c r="AC47"/>
  <c r="AB47"/>
  <c r="AC46"/>
  <c r="AB46"/>
  <c r="AC45"/>
  <c r="AB45"/>
  <c r="AC44"/>
  <c r="AB44"/>
  <c r="AC43"/>
  <c r="AB43"/>
  <c r="AC42"/>
  <c r="AB42"/>
  <c r="AC41"/>
  <c r="AB41"/>
  <c r="AC40"/>
  <c r="AB40"/>
  <c r="AC39"/>
  <c r="AB39"/>
  <c r="AC38"/>
  <c r="AB38"/>
  <c r="AC37"/>
  <c r="AB37"/>
  <c r="AC36"/>
  <c r="AB36"/>
  <c r="AC35"/>
  <c r="AB35"/>
  <c r="AC34"/>
  <c r="AB34"/>
  <c r="AC33"/>
  <c r="AB33"/>
  <c r="AC32"/>
  <c r="AB32"/>
  <c r="AC31"/>
  <c r="AB31"/>
  <c r="AC30"/>
  <c r="AB30"/>
  <c r="AC29"/>
  <c r="AB29"/>
  <c r="AC28"/>
  <c r="AB28"/>
  <c r="AC27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B3"/>
  <c r="AC3"/>
  <c r="AB4"/>
  <c r="AC4"/>
  <c r="AB5"/>
  <c r="AC5"/>
  <c r="AB6"/>
  <c r="AC6"/>
  <c r="AB7"/>
  <c r="AC7"/>
  <c r="AB8"/>
  <c r="AC8"/>
  <c r="AB9"/>
  <c r="AC9"/>
  <c r="AB10"/>
  <c r="AC10"/>
  <c r="AB11"/>
  <c r="AC11"/>
  <c r="AB12"/>
  <c r="AC12"/>
  <c r="AC2"/>
  <c r="AB2"/>
  <c r="AO1"/>
  <c r="AE19"/>
  <c r="AE22"/>
  <c r="AK22" s="1"/>
  <c r="AM22" s="1"/>
  <c r="AE26"/>
  <c r="AE27"/>
  <c r="AE28"/>
  <c r="AE29"/>
  <c r="AE30"/>
  <c r="AE31"/>
  <c r="AE32"/>
  <c r="AE34"/>
  <c r="AK34" s="1"/>
  <c r="AM34" s="1"/>
  <c r="AE36"/>
  <c r="AK36" s="1"/>
  <c r="AE37"/>
  <c r="AK37" s="1"/>
  <c r="AE38"/>
  <c r="AK38" s="1"/>
  <c r="AM38" s="1"/>
  <c r="AE41"/>
  <c r="AE45"/>
  <c r="AK45" s="1"/>
  <c r="AM45" s="1"/>
  <c r="AE48"/>
  <c r="AK48" s="1"/>
  <c r="AE54"/>
  <c r="AK54" s="1"/>
  <c r="AE56"/>
  <c r="AE59"/>
  <c r="AE2"/>
  <c r="AE3"/>
  <c r="AE4"/>
  <c r="AE5"/>
  <c r="AE6"/>
  <c r="AK6" s="1"/>
  <c r="AE7"/>
  <c r="AE8"/>
  <c r="AE9"/>
  <c r="AE14"/>
  <c r="AK14" s="1"/>
  <c r="AM14" s="1"/>
  <c r="AD10"/>
  <c r="AD11"/>
  <c r="AJ11" s="1"/>
  <c r="AL11" s="1"/>
  <c r="AD12"/>
  <c r="AD13"/>
  <c r="AD15"/>
  <c r="AD16"/>
  <c r="AJ16" s="1"/>
  <c r="AL16" s="1"/>
  <c r="AD17"/>
  <c r="AJ17" s="1"/>
  <c r="AL17" s="1"/>
  <c r="AD18"/>
  <c r="AD20"/>
  <c r="AD21"/>
  <c r="AD23"/>
  <c r="AD24"/>
  <c r="AJ24" s="1"/>
  <c r="AL24" s="1"/>
  <c r="AD25"/>
  <c r="AJ25" s="1"/>
  <c r="AL25" s="1"/>
  <c r="AD33"/>
  <c r="AJ33" s="1"/>
  <c r="AL33" s="1"/>
  <c r="AD35"/>
  <c r="AJ35" s="1"/>
  <c r="AL35" s="1"/>
  <c r="AD39"/>
  <c r="AJ39" s="1"/>
  <c r="AL39" s="1"/>
  <c r="AD40"/>
  <c r="AD42"/>
  <c r="AD43"/>
  <c r="AD44"/>
  <c r="AD46"/>
  <c r="AJ46" s="1"/>
  <c r="AL46" s="1"/>
  <c r="AD47"/>
  <c r="AJ47" s="1"/>
  <c r="AL47" s="1"/>
  <c r="AD49"/>
  <c r="AJ49" s="1"/>
  <c r="AL49" s="1"/>
  <c r="AD50"/>
  <c r="AD51"/>
  <c r="AD52"/>
  <c r="AJ52" s="1"/>
  <c r="AL52" s="1"/>
  <c r="AD53"/>
  <c r="AD55"/>
  <c r="AD57"/>
  <c r="AJ57" s="1"/>
  <c r="AL57" s="1"/>
  <c r="AD58"/>
  <c r="AJ58" s="1"/>
  <c r="AJ20"/>
  <c r="AJ21"/>
  <c r="AJ50"/>
  <c r="AL50" s="1"/>
  <c r="AJ51"/>
  <c r="AK7"/>
  <c r="AK8"/>
  <c r="AM8" s="1"/>
  <c r="AK9"/>
  <c r="AM9" s="1"/>
  <c r="AK19"/>
  <c r="AM19" s="1"/>
  <c r="AK26"/>
  <c r="AK27"/>
  <c r="AK28"/>
  <c r="AK29"/>
  <c r="AM29" s="1"/>
  <c r="AK30"/>
  <c r="AM30" s="1"/>
  <c r="AK31"/>
  <c r="AK32"/>
  <c r="AM32" s="1"/>
  <c r="AK41"/>
  <c r="AM41" s="1"/>
  <c r="AK56"/>
  <c r="AK59"/>
  <c r="AJ18"/>
  <c r="AL18" s="1"/>
  <c r="AJ23"/>
  <c r="AL23" s="1"/>
  <c r="AJ40"/>
  <c r="AJ42"/>
  <c r="AJ43"/>
  <c r="AJ44"/>
  <c r="AJ53"/>
  <c r="AJ55"/>
  <c r="AJ13"/>
  <c r="AJ15"/>
  <c r="AL15" s="1"/>
  <c r="AJ10"/>
  <c r="AJ12"/>
  <c r="U13" i="9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U73" s="1"/>
  <c r="U74" s="1"/>
  <c r="U75" s="1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93" s="1"/>
  <c r="U94" s="1"/>
  <c r="U95" s="1"/>
  <c r="U96" s="1"/>
  <c r="U97" s="1"/>
  <c r="U98" s="1"/>
  <c r="U99" s="1"/>
  <c r="U100" s="1"/>
  <c r="U101" s="1"/>
  <c r="U102" s="1"/>
  <c r="U103" s="1"/>
  <c r="U104" s="1"/>
  <c r="U105" s="1"/>
  <c r="U106" s="1"/>
  <c r="U107" s="1"/>
  <c r="U108" s="1"/>
  <c r="U109" s="1"/>
  <c r="U110" s="1"/>
  <c r="U111" s="1"/>
  <c r="U112" s="1"/>
  <c r="U113" s="1"/>
  <c r="U114" s="1"/>
  <c r="U115" s="1"/>
  <c r="U116" s="1"/>
  <c r="U117" s="1"/>
  <c r="U118" s="1"/>
  <c r="U119" s="1"/>
  <c r="U120" s="1"/>
  <c r="U121" s="1"/>
  <c r="U122" s="1"/>
  <c r="U123" s="1"/>
  <c r="U124" s="1"/>
  <c r="U125" s="1"/>
  <c r="U126" s="1"/>
  <c r="U127" s="1"/>
  <c r="U128" s="1"/>
  <c r="U129" s="1"/>
  <c r="U130" s="1"/>
  <c r="U131" s="1"/>
  <c r="U132" s="1"/>
  <c r="U133" s="1"/>
  <c r="U134" s="1"/>
  <c r="U135" s="1"/>
  <c r="U136" s="1"/>
  <c r="U137" s="1"/>
  <c r="U138" s="1"/>
  <c r="U139" s="1"/>
  <c r="U140" s="1"/>
  <c r="U141" s="1"/>
  <c r="U142" s="1"/>
  <c r="U143" s="1"/>
  <c r="U144" s="1"/>
  <c r="U145" s="1"/>
  <c r="U146" s="1"/>
  <c r="U147" s="1"/>
  <c r="U148" s="1"/>
  <c r="U149" s="1"/>
  <c r="U150" s="1"/>
  <c r="U151" s="1"/>
  <c r="U152" s="1"/>
  <c r="U153" s="1"/>
  <c r="U154" s="1"/>
  <c r="U155" s="1"/>
  <c r="U156" s="1"/>
  <c r="U157" s="1"/>
  <c r="U158" s="1"/>
  <c r="U159" s="1"/>
  <c r="U160" s="1"/>
  <c r="U161" s="1"/>
  <c r="U162" s="1"/>
  <c r="U163" s="1"/>
  <c r="U164" s="1"/>
  <c r="U165" s="1"/>
  <c r="U166" s="1"/>
  <c r="U167" s="1"/>
  <c r="U168" s="1"/>
  <c r="U169" s="1"/>
  <c r="U170" s="1"/>
  <c r="U171" s="1"/>
  <c r="U172" s="1"/>
  <c r="U173" s="1"/>
  <c r="U174" s="1"/>
  <c r="U175" s="1"/>
  <c r="U176" s="1"/>
  <c r="U177" s="1"/>
  <c r="U178" s="1"/>
  <c r="U179" s="1"/>
  <c r="U180" s="1"/>
  <c r="U181" s="1"/>
  <c r="U182" s="1"/>
  <c r="U183" s="1"/>
  <c r="U184" s="1"/>
  <c r="U185" s="1"/>
  <c r="U186" s="1"/>
  <c r="U187" s="1"/>
  <c r="U188" s="1"/>
  <c r="U12"/>
  <c r="U11"/>
  <c r="U10"/>
  <c r="U9"/>
  <c r="Q1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0"/>
  <c r="Q9"/>
  <c r="M1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M95" s="1"/>
  <c r="M96" s="1"/>
  <c r="M97" s="1"/>
  <c r="M98" s="1"/>
  <c r="M99" s="1"/>
  <c r="M100" s="1"/>
  <c r="M101" s="1"/>
  <c r="M102" s="1"/>
  <c r="M103" s="1"/>
  <c r="M104" s="1"/>
  <c r="M105" s="1"/>
  <c r="M106" s="1"/>
  <c r="M107" s="1"/>
  <c r="M108" s="1"/>
  <c r="M109" s="1"/>
  <c r="M110" s="1"/>
  <c r="M111" s="1"/>
  <c r="M112" s="1"/>
  <c r="M113" s="1"/>
  <c r="M114" s="1"/>
  <c r="M115" s="1"/>
  <c r="M116" s="1"/>
  <c r="M117" s="1"/>
  <c r="M118" s="1"/>
  <c r="M119" s="1"/>
  <c r="M120" s="1"/>
  <c r="M121" s="1"/>
  <c r="M122" s="1"/>
  <c r="M123" s="1"/>
  <c r="M124" s="1"/>
  <c r="M125" s="1"/>
  <c r="M126" s="1"/>
  <c r="M127" s="1"/>
  <c r="M128" s="1"/>
  <c r="M129" s="1"/>
  <c r="M130" s="1"/>
  <c r="M131" s="1"/>
  <c r="M132" s="1"/>
  <c r="M133" s="1"/>
  <c r="M134" s="1"/>
  <c r="M135" s="1"/>
  <c r="M136" s="1"/>
  <c r="M137" s="1"/>
  <c r="M138" s="1"/>
  <c r="M139" s="1"/>
  <c r="M140" s="1"/>
  <c r="M141" s="1"/>
  <c r="M142" s="1"/>
  <c r="M143" s="1"/>
  <c r="M144" s="1"/>
  <c r="M145" s="1"/>
  <c r="M146" s="1"/>
  <c r="M147" s="1"/>
  <c r="M148" s="1"/>
  <c r="M149" s="1"/>
  <c r="M150" s="1"/>
  <c r="M151" s="1"/>
  <c r="M152" s="1"/>
  <c r="M153" s="1"/>
  <c r="M154" s="1"/>
  <c r="M155" s="1"/>
  <c r="M156" s="1"/>
  <c r="M157" s="1"/>
  <c r="M158" s="1"/>
  <c r="M159" s="1"/>
  <c r="M160" s="1"/>
  <c r="M161" s="1"/>
  <c r="M162" s="1"/>
  <c r="M163" s="1"/>
  <c r="M164" s="1"/>
  <c r="M165" s="1"/>
  <c r="M166" s="1"/>
  <c r="M167" s="1"/>
  <c r="M168" s="1"/>
  <c r="M169" s="1"/>
  <c r="M170" s="1"/>
  <c r="M171" s="1"/>
  <c r="M172" s="1"/>
  <c r="M173" s="1"/>
  <c r="M174" s="1"/>
  <c r="M175" s="1"/>
  <c r="M176" s="1"/>
  <c r="M177" s="1"/>
  <c r="M178" s="1"/>
  <c r="M179" s="1"/>
  <c r="M180" s="1"/>
  <c r="M181" s="1"/>
  <c r="M182" s="1"/>
  <c r="M183" s="1"/>
  <c r="M184" s="1"/>
  <c r="M185" s="1"/>
  <c r="M186" s="1"/>
  <c r="M187" s="1"/>
  <c r="M188" s="1"/>
  <c r="M10"/>
  <c r="M9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2"/>
  <c r="I11"/>
  <c r="I10"/>
  <c r="I9"/>
  <c r="E10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9"/>
  <c r="A177"/>
  <c r="A178"/>
  <c r="A179" s="1"/>
  <c r="A180" s="1"/>
  <c r="A181" s="1"/>
  <c r="A182" s="1"/>
  <c r="A183" s="1"/>
  <c r="A184" s="1"/>
  <c r="A185" s="1"/>
  <c r="A186" s="1"/>
  <c r="A187" s="1"/>
  <c r="A188" s="1"/>
  <c r="A170"/>
  <c r="A171"/>
  <c r="A172" s="1"/>
  <c r="A173" s="1"/>
  <c r="A174" s="1"/>
  <c r="A175" s="1"/>
  <c r="A176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9"/>
  <c r="B1"/>
  <c r="C1"/>
  <c r="A4"/>
  <c r="AI14" i="1"/>
  <c r="AI19"/>
  <c r="AI22"/>
  <c r="AI26"/>
  <c r="AI27"/>
  <c r="AI28"/>
  <c r="AI29"/>
  <c r="AI30"/>
  <c r="AI31"/>
  <c r="AI32"/>
  <c r="AI34"/>
  <c r="AI36"/>
  <c r="AI37"/>
  <c r="AI38"/>
  <c r="AI41"/>
  <c r="AI45"/>
  <c r="AI48"/>
  <c r="AI54"/>
  <c r="AI56"/>
  <c r="AI59"/>
  <c r="AI3"/>
  <c r="AI4"/>
  <c r="AI5"/>
  <c r="AI6"/>
  <c r="AI7"/>
  <c r="AI8"/>
  <c r="AI9"/>
  <c r="AI2"/>
  <c r="AH10"/>
  <c r="AH11"/>
  <c r="AH12"/>
  <c r="AH13"/>
  <c r="AH15"/>
  <c r="AH16"/>
  <c r="AH17"/>
  <c r="AH18"/>
  <c r="AH20"/>
  <c r="AH21"/>
  <c r="AH23"/>
  <c r="AH24"/>
  <c r="AH25"/>
  <c r="AH33"/>
  <c r="AH35"/>
  <c r="AH39"/>
  <c r="AH40"/>
  <c r="AH42"/>
  <c r="AH43"/>
  <c r="AH44"/>
  <c r="AH46"/>
  <c r="AH47"/>
  <c r="AH49"/>
  <c r="AH50"/>
  <c r="AH51"/>
  <c r="AH52"/>
  <c r="AH53"/>
  <c r="AH55"/>
  <c r="AH57"/>
  <c r="AH58"/>
  <c r="AF11"/>
  <c r="AF12"/>
  <c r="AF13"/>
  <c r="AF15"/>
  <c r="AF16"/>
  <c r="AF17"/>
  <c r="AF18"/>
  <c r="AF20"/>
  <c r="AF21"/>
  <c r="AF23"/>
  <c r="AF24"/>
  <c r="AF25"/>
  <c r="AF33"/>
  <c r="AF35"/>
  <c r="AF39"/>
  <c r="AF40"/>
  <c r="AF42"/>
  <c r="AF43"/>
  <c r="AF44"/>
  <c r="AF46"/>
  <c r="AF47"/>
  <c r="AF49"/>
  <c r="AF50"/>
  <c r="AF51"/>
  <c r="AF52"/>
  <c r="AF53"/>
  <c r="AF55"/>
  <c r="AF57"/>
  <c r="AF58"/>
  <c r="AF10"/>
  <c r="AG3"/>
  <c r="AG4"/>
  <c r="AG5"/>
  <c r="AG6"/>
  <c r="AG7"/>
  <c r="AG8"/>
  <c r="AG9"/>
  <c r="AG14"/>
  <c r="AG19"/>
  <c r="AG22"/>
  <c r="AG26"/>
  <c r="AG27"/>
  <c r="AG28"/>
  <c r="AG29"/>
  <c r="AG30"/>
  <c r="AG31"/>
  <c r="AG32"/>
  <c r="AG34"/>
  <c r="AG36"/>
  <c r="AG37"/>
  <c r="AG38"/>
  <c r="AG41"/>
  <c r="AG45"/>
  <c r="AG48"/>
  <c r="AG54"/>
  <c r="AG56"/>
  <c r="AG59"/>
  <c r="AG2"/>
  <c r="Z3"/>
  <c r="Z4"/>
  <c r="Z5"/>
  <c r="Z6"/>
  <c r="Z7"/>
  <c r="Z8"/>
  <c r="Z9"/>
  <c r="Z14"/>
  <c r="Z19"/>
  <c r="Z22"/>
  <c r="Z26"/>
  <c r="Z27"/>
  <c r="Z28"/>
  <c r="Z29"/>
  <c r="Z30"/>
  <c r="Z31"/>
  <c r="Z32"/>
  <c r="Z34"/>
  <c r="Z36"/>
  <c r="Z37"/>
  <c r="Z38"/>
  <c r="Z41"/>
  <c r="Z45"/>
  <c r="Z48"/>
  <c r="Z54"/>
  <c r="Z56"/>
  <c r="Z59"/>
  <c r="Z2"/>
  <c r="Y10"/>
  <c r="Y11"/>
  <c r="Y12"/>
  <c r="Y13"/>
  <c r="Y15"/>
  <c r="Y16"/>
  <c r="Y17"/>
  <c r="Y18"/>
  <c r="Y20"/>
  <c r="Y21"/>
  <c r="Y23"/>
  <c r="Y24"/>
  <c r="Y25"/>
  <c r="Y33"/>
  <c r="Y35"/>
  <c r="Y39"/>
  <c r="Y40"/>
  <c r="Y42"/>
  <c r="Y43"/>
  <c r="Y44"/>
  <c r="Y46"/>
  <c r="Y47"/>
  <c r="Y49"/>
  <c r="Y50"/>
  <c r="Y51"/>
  <c r="Y52"/>
  <c r="Y53"/>
  <c r="Y55"/>
  <c r="Y57"/>
  <c r="Y58"/>
  <c r="W3"/>
  <c r="W4"/>
  <c r="W5"/>
  <c r="W6"/>
  <c r="W7"/>
  <c r="W8"/>
  <c r="W9"/>
  <c r="W14"/>
  <c r="W19"/>
  <c r="W22"/>
  <c r="W26"/>
  <c r="W27"/>
  <c r="W28"/>
  <c r="W29"/>
  <c r="W30"/>
  <c r="W31"/>
  <c r="W32"/>
  <c r="W34"/>
  <c r="W36"/>
  <c r="W37"/>
  <c r="W38"/>
  <c r="W41"/>
  <c r="W45"/>
  <c r="W48"/>
  <c r="W54"/>
  <c r="W56"/>
  <c r="W59"/>
  <c r="W2"/>
  <c r="V10"/>
  <c r="V11"/>
  <c r="V12"/>
  <c r="V13"/>
  <c r="V15"/>
  <c r="V16"/>
  <c r="V17"/>
  <c r="V18"/>
  <c r="V20"/>
  <c r="V21"/>
  <c r="V23"/>
  <c r="V24"/>
  <c r="V25"/>
  <c r="V33"/>
  <c r="V35"/>
  <c r="V39"/>
  <c r="V40"/>
  <c r="V42"/>
  <c r="V43"/>
  <c r="V44"/>
  <c r="V46"/>
  <c r="V47"/>
  <c r="V49"/>
  <c r="V50"/>
  <c r="V51"/>
  <c r="V52"/>
  <c r="V53"/>
  <c r="V55"/>
  <c r="V57"/>
  <c r="V58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3"/>
  <c r="AV44"/>
  <c r="AV45"/>
  <c r="AV46"/>
  <c r="AV47"/>
  <c r="AV48"/>
  <c r="AV49"/>
  <c r="AV50"/>
  <c r="AV51"/>
  <c r="AV52"/>
  <c r="AV53"/>
  <c r="AV54"/>
  <c r="AV55"/>
  <c r="AV56"/>
  <c r="AV57"/>
  <c r="AV58"/>
  <c r="AV59"/>
  <c r="AV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7"/>
  <c r="AS7"/>
  <c r="AS14"/>
  <c r="AS15"/>
  <c r="AS16"/>
  <c r="AS17"/>
  <c r="AS18"/>
  <c r="AS19"/>
  <c r="AS20"/>
  <c r="AS21"/>
  <c r="AS22"/>
  <c r="AS23"/>
  <c r="AS24"/>
  <c r="AS25"/>
  <c r="AS26"/>
  <c r="AS27"/>
  <c r="AS28"/>
  <c r="AS29"/>
  <c r="AS30"/>
  <c r="AS31"/>
  <c r="AS32"/>
  <c r="AS33"/>
  <c r="AS34"/>
  <c r="AS35"/>
  <c r="AS36"/>
  <c r="AS37"/>
  <c r="AS38"/>
  <c r="AS39"/>
  <c r="AS40"/>
  <c r="AS41"/>
  <c r="AS42"/>
  <c r="AS43"/>
  <c r="AS44"/>
  <c r="AS45"/>
  <c r="AS46"/>
  <c r="AS47"/>
  <c r="AS48"/>
  <c r="AS49"/>
  <c r="AS50"/>
  <c r="AS51"/>
  <c r="AS52"/>
  <c r="AS53"/>
  <c r="AS54"/>
  <c r="AS55"/>
  <c r="AS56"/>
  <c r="AS57"/>
  <c r="AS58"/>
  <c r="AS59"/>
  <c r="AS11"/>
  <c r="AS12"/>
  <c r="AS13"/>
  <c r="AS8"/>
  <c r="AS9"/>
  <c r="AS10"/>
  <c r="AT58" i="8"/>
  <c r="AT57"/>
  <c r="AT56"/>
  <c r="AT55"/>
  <c r="AT54"/>
  <c r="AT53"/>
  <c r="AT52"/>
  <c r="AT51"/>
  <c r="AT50"/>
  <c r="AT49"/>
  <c r="AT48"/>
  <c r="AT47"/>
  <c r="AT46"/>
  <c r="AT45"/>
  <c r="AT44"/>
  <c r="AT43"/>
  <c r="AT42"/>
  <c r="AT41"/>
  <c r="AT40"/>
  <c r="AT39"/>
  <c r="AT38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S7"/>
  <c r="AS8"/>
  <c r="AS9"/>
  <c r="AS10"/>
  <c r="AS11"/>
  <c r="AS12"/>
  <c r="AS13"/>
  <c r="AS14"/>
  <c r="AS15"/>
  <c r="AS16"/>
  <c r="AS17"/>
  <c r="AS18"/>
  <c r="AS19"/>
  <c r="AS20"/>
  <c r="AS21"/>
  <c r="AS22"/>
  <c r="AS23"/>
  <c r="AS24"/>
  <c r="AS25"/>
  <c r="AS26"/>
  <c r="AS27"/>
  <c r="AS28"/>
  <c r="AS29"/>
  <c r="AS30"/>
  <c r="AS31"/>
  <c r="AS32"/>
  <c r="AS33"/>
  <c r="AS34"/>
  <c r="AS35"/>
  <c r="AS36"/>
  <c r="AS37"/>
  <c r="AS38"/>
  <c r="AS39"/>
  <c r="AS40"/>
  <c r="AS41"/>
  <c r="AS42"/>
  <c r="AS43"/>
  <c r="AS44"/>
  <c r="AS45"/>
  <c r="AS46"/>
  <c r="AS47"/>
  <c r="AS48"/>
  <c r="AS49"/>
  <c r="AS50"/>
  <c r="AS51"/>
  <c r="AS52"/>
  <c r="AS53"/>
  <c r="AS54"/>
  <c r="AS55"/>
  <c r="AS56"/>
  <c r="AS57"/>
  <c r="AS58"/>
  <c r="AS59"/>
  <c r="AS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2"/>
  <c r="T2" i="1"/>
  <c r="T3"/>
  <c r="T4"/>
  <c r="T5"/>
  <c r="T6"/>
  <c r="T7"/>
  <c r="T8"/>
  <c r="T9"/>
  <c r="S9" i="8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3"/>
  <c r="S4"/>
  <c r="S5"/>
  <c r="S6"/>
  <c r="S7"/>
  <c r="S8"/>
  <c r="S2"/>
  <c r="AT59"/>
  <c r="AI59"/>
  <c r="Z59"/>
  <c r="Y59"/>
  <c r="Q59"/>
  <c r="P59"/>
  <c r="O59"/>
  <c r="L59"/>
  <c r="M59" s="1"/>
  <c r="Z58"/>
  <c r="Y58"/>
  <c r="R58"/>
  <c r="Q58"/>
  <c r="V58" s="1"/>
  <c r="P58"/>
  <c r="O58"/>
  <c r="N58"/>
  <c r="M58"/>
  <c r="L58"/>
  <c r="Z57"/>
  <c r="Y57"/>
  <c r="P57"/>
  <c r="Q57" s="1"/>
  <c r="O57"/>
  <c r="N57"/>
  <c r="L57"/>
  <c r="M57" s="1"/>
  <c r="R57" s="1"/>
  <c r="Z56"/>
  <c r="Y56"/>
  <c r="R56"/>
  <c r="Q56"/>
  <c r="V56" s="1"/>
  <c r="P56"/>
  <c r="O56"/>
  <c r="N56"/>
  <c r="M56"/>
  <c r="L56"/>
  <c r="Z55"/>
  <c r="Y55"/>
  <c r="L55"/>
  <c r="M55" s="1"/>
  <c r="Z54"/>
  <c r="Y54"/>
  <c r="P54"/>
  <c r="M54"/>
  <c r="L54"/>
  <c r="N54" s="1"/>
  <c r="Z53"/>
  <c r="Y53"/>
  <c r="L53"/>
  <c r="M53" s="1"/>
  <c r="Z52"/>
  <c r="Y52"/>
  <c r="M52"/>
  <c r="L52"/>
  <c r="N52" s="1"/>
  <c r="Z51"/>
  <c r="Y51"/>
  <c r="P51"/>
  <c r="Q51" s="1"/>
  <c r="N51"/>
  <c r="M51"/>
  <c r="R51" s="1"/>
  <c r="L51"/>
  <c r="O51" s="1"/>
  <c r="Z50"/>
  <c r="Y50"/>
  <c r="O50"/>
  <c r="N50"/>
  <c r="M50"/>
  <c r="R50" s="1"/>
  <c r="L50"/>
  <c r="P50" s="1"/>
  <c r="Q50" s="1"/>
  <c r="Z49"/>
  <c r="Y49"/>
  <c r="P49"/>
  <c r="Q49" s="1"/>
  <c r="O49"/>
  <c r="N49"/>
  <c r="L49"/>
  <c r="M49" s="1"/>
  <c r="R49" s="1"/>
  <c r="Z48"/>
  <c r="Y48"/>
  <c r="Q48"/>
  <c r="P48"/>
  <c r="O48"/>
  <c r="M48"/>
  <c r="R48" s="1"/>
  <c r="L48"/>
  <c r="N48" s="1"/>
  <c r="Z47"/>
  <c r="Y47"/>
  <c r="R47"/>
  <c r="Q47"/>
  <c r="P47"/>
  <c r="O47"/>
  <c r="N47"/>
  <c r="M47"/>
  <c r="L47"/>
  <c r="Z46"/>
  <c r="Y46"/>
  <c r="R46"/>
  <c r="P46"/>
  <c r="O46"/>
  <c r="Q46" s="1"/>
  <c r="N46"/>
  <c r="M46"/>
  <c r="L46"/>
  <c r="Z45"/>
  <c r="Y45"/>
  <c r="R45"/>
  <c r="P45"/>
  <c r="Q45" s="1"/>
  <c r="O45"/>
  <c r="N45"/>
  <c r="M45"/>
  <c r="L45"/>
  <c r="Z44"/>
  <c r="Y44"/>
  <c r="R44"/>
  <c r="Q44"/>
  <c r="V44" s="1"/>
  <c r="P44"/>
  <c r="O44"/>
  <c r="N44"/>
  <c r="M44"/>
  <c r="L44"/>
  <c r="Z43"/>
  <c r="Y43"/>
  <c r="L43"/>
  <c r="M43" s="1"/>
  <c r="Z42"/>
  <c r="Y42"/>
  <c r="P42"/>
  <c r="M42"/>
  <c r="L42"/>
  <c r="N42" s="1"/>
  <c r="Z41"/>
  <c r="Y41"/>
  <c r="L41"/>
  <c r="M41" s="1"/>
  <c r="Z40"/>
  <c r="Y40"/>
  <c r="M40"/>
  <c r="R40" s="1"/>
  <c r="L40"/>
  <c r="N40" s="1"/>
  <c r="Z39"/>
  <c r="Y39"/>
  <c r="P39"/>
  <c r="N39"/>
  <c r="M39"/>
  <c r="R39" s="1"/>
  <c r="L39"/>
  <c r="O39" s="1"/>
  <c r="Z38"/>
  <c r="Y38"/>
  <c r="O38"/>
  <c r="N38"/>
  <c r="M38"/>
  <c r="R38" s="1"/>
  <c r="L38"/>
  <c r="P38" s="1"/>
  <c r="Q38" s="1"/>
  <c r="Z37"/>
  <c r="Y37"/>
  <c r="P37"/>
  <c r="Q37" s="1"/>
  <c r="O37"/>
  <c r="L37"/>
  <c r="M37" s="1"/>
  <c r="Z36"/>
  <c r="Y36"/>
  <c r="Q36"/>
  <c r="P36"/>
  <c r="O36"/>
  <c r="M36"/>
  <c r="R36" s="1"/>
  <c r="L36"/>
  <c r="N36" s="1"/>
  <c r="Z35"/>
  <c r="Y35"/>
  <c r="R35"/>
  <c r="Q35"/>
  <c r="P35"/>
  <c r="O35"/>
  <c r="N35"/>
  <c r="M35"/>
  <c r="L35"/>
  <c r="Z34"/>
  <c r="Y34"/>
  <c r="P34"/>
  <c r="Q34" s="1"/>
  <c r="O34"/>
  <c r="N34"/>
  <c r="L34"/>
  <c r="M34" s="1"/>
  <c r="R34" s="1"/>
  <c r="Z33"/>
  <c r="Y33"/>
  <c r="R33"/>
  <c r="P33"/>
  <c r="Q33" s="1"/>
  <c r="O33"/>
  <c r="N33"/>
  <c r="M33"/>
  <c r="L33"/>
  <c r="Z32"/>
  <c r="Y32"/>
  <c r="R32"/>
  <c r="P32"/>
  <c r="Q32" s="1"/>
  <c r="O32"/>
  <c r="N32"/>
  <c r="M32"/>
  <c r="L32"/>
  <c r="Z31"/>
  <c r="Y31"/>
  <c r="L31"/>
  <c r="M31" s="1"/>
  <c r="Z30"/>
  <c r="Y30"/>
  <c r="P30"/>
  <c r="M30"/>
  <c r="L30"/>
  <c r="N30" s="1"/>
  <c r="Z29"/>
  <c r="Y29"/>
  <c r="L29"/>
  <c r="M29" s="1"/>
  <c r="Z28"/>
  <c r="Y28"/>
  <c r="M28"/>
  <c r="L28"/>
  <c r="N28" s="1"/>
  <c r="Z27"/>
  <c r="Y27"/>
  <c r="P27"/>
  <c r="N27"/>
  <c r="M27"/>
  <c r="R27" s="1"/>
  <c r="L27"/>
  <c r="O27" s="1"/>
  <c r="Z26"/>
  <c r="Y26"/>
  <c r="O26"/>
  <c r="N26"/>
  <c r="L26"/>
  <c r="P26" s="1"/>
  <c r="Q26" s="1"/>
  <c r="Z25"/>
  <c r="Y25"/>
  <c r="P25"/>
  <c r="Q25" s="1"/>
  <c r="O25"/>
  <c r="M25"/>
  <c r="L25"/>
  <c r="N25" s="1"/>
  <c r="R25" s="1"/>
  <c r="Z24"/>
  <c r="Y24"/>
  <c r="P24"/>
  <c r="L24"/>
  <c r="M24" s="1"/>
  <c r="Z23"/>
  <c r="Y23"/>
  <c r="R23"/>
  <c r="Q23"/>
  <c r="P23"/>
  <c r="O23"/>
  <c r="N23"/>
  <c r="M23"/>
  <c r="L23"/>
  <c r="Z22"/>
  <c r="Y22"/>
  <c r="P22"/>
  <c r="Q22" s="1"/>
  <c r="O22"/>
  <c r="N22"/>
  <c r="L22"/>
  <c r="M22" s="1"/>
  <c r="R22" s="1"/>
  <c r="Z21"/>
  <c r="Y21"/>
  <c r="R21"/>
  <c r="P21"/>
  <c r="Q21" s="1"/>
  <c r="O21"/>
  <c r="N21"/>
  <c r="M21"/>
  <c r="L21"/>
  <c r="Z20"/>
  <c r="Y20"/>
  <c r="R20"/>
  <c r="P20"/>
  <c r="Q20" s="1"/>
  <c r="O20"/>
  <c r="N20"/>
  <c r="M20"/>
  <c r="L20"/>
  <c r="Z19"/>
  <c r="Y19"/>
  <c r="L19"/>
  <c r="M19" s="1"/>
  <c r="Z18"/>
  <c r="Y18"/>
  <c r="P18"/>
  <c r="M18"/>
  <c r="L18"/>
  <c r="N18" s="1"/>
  <c r="Z17"/>
  <c r="Y17"/>
  <c r="O17"/>
  <c r="N17"/>
  <c r="M17"/>
  <c r="R17" s="1"/>
  <c r="L17"/>
  <c r="P17" s="1"/>
  <c r="Q17" s="1"/>
  <c r="Z16"/>
  <c r="Y16"/>
  <c r="L16"/>
  <c r="M16" s="1"/>
  <c r="Z15"/>
  <c r="Y15"/>
  <c r="Q15"/>
  <c r="P15"/>
  <c r="O15"/>
  <c r="N15"/>
  <c r="M15"/>
  <c r="R15" s="1"/>
  <c r="L15"/>
  <c r="Z14"/>
  <c r="Y14"/>
  <c r="L14"/>
  <c r="M14" s="1"/>
  <c r="Z13"/>
  <c r="Y13"/>
  <c r="P13"/>
  <c r="Q13" s="1"/>
  <c r="O13"/>
  <c r="L13"/>
  <c r="M13" s="1"/>
  <c r="Z12"/>
  <c r="Y12"/>
  <c r="P12"/>
  <c r="Q12" s="1"/>
  <c r="N12"/>
  <c r="M12"/>
  <c r="R12" s="1"/>
  <c r="L12"/>
  <c r="O12" s="1"/>
  <c r="Z11"/>
  <c r="Y11"/>
  <c r="Q11"/>
  <c r="P11"/>
  <c r="O11"/>
  <c r="N11"/>
  <c r="R11" s="1"/>
  <c r="M11"/>
  <c r="L11"/>
  <c r="AZ10"/>
  <c r="BA10" s="1"/>
  <c r="Z10"/>
  <c r="Y10"/>
  <c r="P10"/>
  <c r="Q10" s="1"/>
  <c r="O10"/>
  <c r="L10"/>
  <c r="M10" s="1"/>
  <c r="AZ9"/>
  <c r="BA9" s="1"/>
  <c r="Z9"/>
  <c r="Y9"/>
  <c r="P9"/>
  <c r="M9"/>
  <c r="L9"/>
  <c r="N9" s="1"/>
  <c r="BM8"/>
  <c r="AZ8"/>
  <c r="BA8" s="1"/>
  <c r="AO8"/>
  <c r="AP8" s="1"/>
  <c r="Z8"/>
  <c r="Y8"/>
  <c r="P8"/>
  <c r="Q8" s="1"/>
  <c r="O8"/>
  <c r="N8"/>
  <c r="M8"/>
  <c r="R8" s="1"/>
  <c r="L8"/>
  <c r="BA7"/>
  <c r="AZ7"/>
  <c r="BB7" s="1"/>
  <c r="AY7"/>
  <c r="AX7"/>
  <c r="AU7"/>
  <c r="AO7"/>
  <c r="AP7" s="1"/>
  <c r="AJ7"/>
  <c r="AM7" s="1"/>
  <c r="Z7"/>
  <c r="Y7"/>
  <c r="O7"/>
  <c r="N7"/>
  <c r="L7"/>
  <c r="P7" s="1"/>
  <c r="Q7" s="1"/>
  <c r="BB6"/>
  <c r="BA6"/>
  <c r="AY6"/>
  <c r="AX6"/>
  <c r="AQ6"/>
  <c r="AP6"/>
  <c r="AN6"/>
  <c r="AM6"/>
  <c r="Z6"/>
  <c r="Y6"/>
  <c r="P6"/>
  <c r="Q6" s="1"/>
  <c r="O6"/>
  <c r="N6"/>
  <c r="M6"/>
  <c r="R6" s="1"/>
  <c r="L6"/>
  <c r="BO5"/>
  <c r="BN5"/>
  <c r="BM5"/>
  <c r="Z5"/>
  <c r="Y5"/>
  <c r="P5"/>
  <c r="Q5" s="1"/>
  <c r="N5"/>
  <c r="M5"/>
  <c r="R5" s="1"/>
  <c r="L5"/>
  <c r="O5" s="1"/>
  <c r="Z4"/>
  <c r="Y4"/>
  <c r="P4"/>
  <c r="M4"/>
  <c r="L4"/>
  <c r="N4" s="1"/>
  <c r="Z3"/>
  <c r="Y3"/>
  <c r="P3"/>
  <c r="Q3" s="1"/>
  <c r="O3"/>
  <c r="N3"/>
  <c r="R3" s="1"/>
  <c r="M3"/>
  <c r="L3"/>
  <c r="Z2"/>
  <c r="Y2"/>
  <c r="P2"/>
  <c r="M2"/>
  <c r="L2"/>
  <c r="N2" s="1"/>
  <c r="R2" s="1"/>
  <c r="AY7" i="1"/>
  <c r="AY8"/>
  <c r="AY9"/>
  <c r="AY14"/>
  <c r="AY19"/>
  <c r="AY22"/>
  <c r="AY26"/>
  <c r="AY27"/>
  <c r="AY28"/>
  <c r="AY29"/>
  <c r="AY30"/>
  <c r="AY31"/>
  <c r="AY32"/>
  <c r="AY34"/>
  <c r="AY36"/>
  <c r="AY37"/>
  <c r="AY38"/>
  <c r="AY41"/>
  <c r="AY45"/>
  <c r="AY48"/>
  <c r="AY54"/>
  <c r="AY56"/>
  <c r="AY59"/>
  <c r="AY6"/>
  <c r="AX10"/>
  <c r="AX11"/>
  <c r="AX12"/>
  <c r="AX13"/>
  <c r="AX15"/>
  <c r="AX16"/>
  <c r="AX17"/>
  <c r="AX18"/>
  <c r="AX20"/>
  <c r="AX21"/>
  <c r="AX23"/>
  <c r="AX24"/>
  <c r="AX25"/>
  <c r="AX33"/>
  <c r="AX35"/>
  <c r="AX39"/>
  <c r="AX40"/>
  <c r="AX42"/>
  <c r="AX43"/>
  <c r="AX44"/>
  <c r="AX46"/>
  <c r="AX47"/>
  <c r="AX49"/>
  <c r="AX50"/>
  <c r="AX51"/>
  <c r="AX52"/>
  <c r="AX53"/>
  <c r="AX55"/>
  <c r="AX57"/>
  <c r="AX58"/>
  <c r="AZ7"/>
  <c r="BG6"/>
  <c r="BF6"/>
  <c r="BE7"/>
  <c r="BF7" s="1"/>
  <c r="BQ6"/>
  <c r="BJ59"/>
  <c r="BI58"/>
  <c r="BI57"/>
  <c r="BJ56"/>
  <c r="BI55"/>
  <c r="BJ54"/>
  <c r="BI53"/>
  <c r="BI52"/>
  <c r="BI51"/>
  <c r="BI50"/>
  <c r="BI49"/>
  <c r="BJ48"/>
  <c r="BI47"/>
  <c r="BI46"/>
  <c r="BJ45"/>
  <c r="BI44"/>
  <c r="BI43"/>
  <c r="BI42"/>
  <c r="BJ41"/>
  <c r="BI40"/>
  <c r="BI39"/>
  <c r="BJ38"/>
  <c r="BJ37"/>
  <c r="BJ36"/>
  <c r="BI35"/>
  <c r="BJ34"/>
  <c r="BI33"/>
  <c r="BJ32"/>
  <c r="BJ31"/>
  <c r="BJ30"/>
  <c r="BJ29"/>
  <c r="BJ28"/>
  <c r="BJ27"/>
  <c r="BJ26"/>
  <c r="BI25"/>
  <c r="BI24"/>
  <c r="BI23"/>
  <c r="BJ22"/>
  <c r="BI21"/>
  <c r="BI20"/>
  <c r="BJ19"/>
  <c r="BI18"/>
  <c r="BI17"/>
  <c r="BI16"/>
  <c r="BI15"/>
  <c r="BJ14"/>
  <c r="BI13"/>
  <c r="BI12"/>
  <c r="BI11"/>
  <c r="BI10"/>
  <c r="BJ9"/>
  <c r="BJ8"/>
  <c r="BK7"/>
  <c r="BK8" s="1"/>
  <c r="BJ7"/>
  <c r="BO6"/>
  <c r="BN6"/>
  <c r="BJ6"/>
  <c r="BR6"/>
  <c r="BP8"/>
  <c r="BP9" s="1"/>
  <c r="BP7"/>
  <c r="BQ7" s="1"/>
  <c r="AA2"/>
  <c r="AA3"/>
  <c r="AA4"/>
  <c r="AA5"/>
  <c r="L2"/>
  <c r="M2" s="1"/>
  <c r="L3"/>
  <c r="M3" s="1"/>
  <c r="L4"/>
  <c r="P4" s="1"/>
  <c r="L5"/>
  <c r="M5" s="1"/>
  <c r="L7"/>
  <c r="N7" s="1"/>
  <c r="AA7"/>
  <c r="CD5"/>
  <c r="CE5"/>
  <c r="CF5"/>
  <c r="T59"/>
  <c r="AA59"/>
  <c r="S58"/>
  <c r="AA58"/>
  <c r="S57"/>
  <c r="AA57"/>
  <c r="T56"/>
  <c r="AA56"/>
  <c r="S55"/>
  <c r="AA55"/>
  <c r="T54"/>
  <c r="AA54"/>
  <c r="S53"/>
  <c r="AA53"/>
  <c r="S52"/>
  <c r="AA52"/>
  <c r="S51"/>
  <c r="AA51"/>
  <c r="S50"/>
  <c r="AA50"/>
  <c r="S49"/>
  <c r="AA49"/>
  <c r="L48"/>
  <c r="O48" s="1"/>
  <c r="L58"/>
  <c r="N58" s="1"/>
  <c r="L59"/>
  <c r="P59" s="1"/>
  <c r="L49"/>
  <c r="N49" s="1"/>
  <c r="L50"/>
  <c r="P50" s="1"/>
  <c r="L51"/>
  <c r="N51" s="1"/>
  <c r="L52"/>
  <c r="P52" s="1"/>
  <c r="L53"/>
  <c r="P53" s="1"/>
  <c r="L54"/>
  <c r="P54" s="1"/>
  <c r="L55"/>
  <c r="N55" s="1"/>
  <c r="L56"/>
  <c r="P56" s="1"/>
  <c r="L57"/>
  <c r="P57" s="1"/>
  <c r="L47"/>
  <c r="N47" s="1"/>
  <c r="T48"/>
  <c r="AA48"/>
  <c r="S47"/>
  <c r="AA47"/>
  <c r="S46"/>
  <c r="AA46"/>
  <c r="L46"/>
  <c r="P46" s="1"/>
  <c r="T45"/>
  <c r="AA45"/>
  <c r="L45"/>
  <c r="P45" s="1"/>
  <c r="S44"/>
  <c r="AA44"/>
  <c r="L44"/>
  <c r="P44" s="1"/>
  <c r="S43"/>
  <c r="AA43"/>
  <c r="L43"/>
  <c r="M43" s="1"/>
  <c r="S42"/>
  <c r="AA42"/>
  <c r="L42"/>
  <c r="O42" s="1"/>
  <c r="AA41"/>
  <c r="T41"/>
  <c r="L41"/>
  <c r="M41" s="1"/>
  <c r="S40"/>
  <c r="AA40"/>
  <c r="L40"/>
  <c r="P40" s="1"/>
  <c r="S39"/>
  <c r="AA39"/>
  <c r="L39"/>
  <c r="P39" s="1"/>
  <c r="T38"/>
  <c r="AA38"/>
  <c r="L38"/>
  <c r="M38" s="1"/>
  <c r="T37"/>
  <c r="AA37"/>
  <c r="L37"/>
  <c r="M37" s="1"/>
  <c r="T36"/>
  <c r="AA36"/>
  <c r="L36"/>
  <c r="O36" s="1"/>
  <c r="S35"/>
  <c r="AA35"/>
  <c r="L35"/>
  <c r="P35" s="1"/>
  <c r="T34"/>
  <c r="AA34"/>
  <c r="L34"/>
  <c r="P34" s="1"/>
  <c r="S33"/>
  <c r="AA33"/>
  <c r="L33"/>
  <c r="N33" s="1"/>
  <c r="T32"/>
  <c r="AA32"/>
  <c r="L32"/>
  <c r="P32" s="1"/>
  <c r="Z2" i="6"/>
  <c r="Y2"/>
  <c r="X2"/>
  <c r="U2"/>
  <c r="M2"/>
  <c r="O2" s="1"/>
  <c r="Z1"/>
  <c r="Y1"/>
  <c r="X1"/>
  <c r="U1"/>
  <c r="M1"/>
  <c r="O1" s="1"/>
  <c r="L22" i="1"/>
  <c r="M22" s="1"/>
  <c r="S10"/>
  <c r="S11"/>
  <c r="S12"/>
  <c r="S13"/>
  <c r="S15"/>
  <c r="S16"/>
  <c r="S17"/>
  <c r="S18"/>
  <c r="S20"/>
  <c r="S21"/>
  <c r="S23"/>
  <c r="S24"/>
  <c r="S25"/>
  <c r="T14"/>
  <c r="T19"/>
  <c r="T26"/>
  <c r="T27"/>
  <c r="T28"/>
  <c r="T29"/>
  <c r="T30"/>
  <c r="T31"/>
  <c r="L31"/>
  <c r="O31" s="1"/>
  <c r="L6"/>
  <c r="P6" s="1"/>
  <c r="L8"/>
  <c r="O8" s="1"/>
  <c r="L9"/>
  <c r="P9" s="1"/>
  <c r="L10"/>
  <c r="M10" s="1"/>
  <c r="L11"/>
  <c r="P11" s="1"/>
  <c r="L12"/>
  <c r="P12" s="1"/>
  <c r="L13"/>
  <c r="P13" s="1"/>
  <c r="L14"/>
  <c r="P14" s="1"/>
  <c r="L15"/>
  <c r="P15" s="1"/>
  <c r="L16"/>
  <c r="P16" s="1"/>
  <c r="L17"/>
  <c r="P17" s="1"/>
  <c r="L18"/>
  <c r="P18" s="1"/>
  <c r="L19"/>
  <c r="N19" s="1"/>
  <c r="L20"/>
  <c r="P20" s="1"/>
  <c r="L21"/>
  <c r="P21" s="1"/>
  <c r="L23"/>
  <c r="P23" s="1"/>
  <c r="L24"/>
  <c r="P24" s="1"/>
  <c r="L25"/>
  <c r="P25" s="1"/>
  <c r="L26"/>
  <c r="P26" s="1"/>
  <c r="L27"/>
  <c r="P27" s="1"/>
  <c r="L28"/>
  <c r="P28" s="1"/>
  <c r="L29"/>
  <c r="P29" s="1"/>
  <c r="L30"/>
  <c r="P30" s="1"/>
  <c r="K3" i="5"/>
  <c r="K4"/>
  <c r="L4" s="1"/>
  <c r="K5"/>
  <c r="K6"/>
  <c r="K7"/>
  <c r="K8"/>
  <c r="K9"/>
  <c r="L9" s="1"/>
  <c r="K10"/>
  <c r="L10" s="1"/>
  <c r="K11"/>
  <c r="K12"/>
  <c r="K13"/>
  <c r="K14"/>
  <c r="L14"/>
  <c r="K2"/>
  <c r="J3"/>
  <c r="J4"/>
  <c r="J5"/>
  <c r="J6"/>
  <c r="J7"/>
  <c r="J8"/>
  <c r="J9"/>
  <c r="J10"/>
  <c r="J11"/>
  <c r="J12"/>
  <c r="J13"/>
  <c r="J14"/>
  <c r="J2"/>
  <c r="L8"/>
  <c r="I3"/>
  <c r="I4"/>
  <c r="I5"/>
  <c r="I6"/>
  <c r="I7"/>
  <c r="I8"/>
  <c r="I9"/>
  <c r="I10"/>
  <c r="I11"/>
  <c r="I12"/>
  <c r="I13"/>
  <c r="I14"/>
  <c r="I2"/>
  <c r="H2" a="1"/>
  <c r="H12" s="1"/>
  <c r="G2" a="1"/>
  <c r="G12" s="1"/>
  <c r="F4"/>
  <c r="F5"/>
  <c r="F6" s="1"/>
  <c r="F7" s="1"/>
  <c r="F8" s="1"/>
  <c r="F9" s="1"/>
  <c r="F10" s="1"/>
  <c r="F11" s="1"/>
  <c r="F12" s="1"/>
  <c r="F13" s="1"/>
  <c r="F14" s="1"/>
  <c r="F3"/>
  <c r="D3"/>
  <c r="D4"/>
  <c r="D5"/>
  <c r="D14"/>
  <c r="D15"/>
  <c r="D16"/>
  <c r="D17"/>
  <c r="D6"/>
  <c r="D18"/>
  <c r="D19"/>
  <c r="D20"/>
  <c r="D21"/>
  <c r="D7"/>
  <c r="D22"/>
  <c r="D23"/>
  <c r="D24"/>
  <c r="D25"/>
  <c r="D26"/>
  <c r="D27"/>
  <c r="D8"/>
  <c r="D9"/>
  <c r="D10"/>
  <c r="D11"/>
  <c r="D12"/>
  <c r="D13"/>
  <c r="D2"/>
  <c r="AA26" i="1"/>
  <c r="AA25"/>
  <c r="AA24"/>
  <c r="AA23"/>
  <c r="AA22"/>
  <c r="AA21"/>
  <c r="AA20"/>
  <c r="AA19"/>
  <c r="AA18"/>
  <c r="AA6"/>
  <c r="AA8"/>
  <c r="AA9"/>
  <c r="AA10"/>
  <c r="AA11"/>
  <c r="AA12"/>
  <c r="AA13"/>
  <c r="AA14"/>
  <c r="AA15"/>
  <c r="AA16"/>
  <c r="AA17"/>
  <c r="AA27"/>
  <c r="AA28"/>
  <c r="AA29"/>
  <c r="AA30"/>
  <c r="AA31"/>
  <c r="Z35" i="2"/>
  <c r="AA35"/>
  <c r="Y35"/>
  <c r="T35"/>
  <c r="S35"/>
  <c r="R35"/>
  <c r="V27"/>
  <c r="V28"/>
  <c r="V29"/>
  <c r="W29" s="1"/>
  <c r="V30"/>
  <c r="W30" s="1"/>
  <c r="V31"/>
  <c r="W31" s="1"/>
  <c r="V32"/>
  <c r="V26"/>
  <c r="W26" s="1"/>
  <c r="T27"/>
  <c r="U27" s="1"/>
  <c r="T28"/>
  <c r="U28" s="1"/>
  <c r="T29"/>
  <c r="U29" s="1"/>
  <c r="T30"/>
  <c r="U30" s="1"/>
  <c r="T31"/>
  <c r="U31" s="1"/>
  <c r="T32"/>
  <c r="T26"/>
  <c r="U26" s="1"/>
  <c r="R27"/>
  <c r="S27" s="1"/>
  <c r="R28"/>
  <c r="S28" s="1"/>
  <c r="R29"/>
  <c r="S29" s="1"/>
  <c r="R30"/>
  <c r="S30" s="1"/>
  <c r="R31"/>
  <c r="R32"/>
  <c r="S32" s="1"/>
  <c r="R26"/>
  <c r="S26" s="1"/>
  <c r="W32"/>
  <c r="U32"/>
  <c r="S31"/>
  <c r="W28"/>
  <c r="W27"/>
  <c r="R23"/>
  <c r="T23"/>
  <c r="S23"/>
  <c r="V19"/>
  <c r="W15"/>
  <c r="W16"/>
  <c r="W17"/>
  <c r="W18"/>
  <c r="W19"/>
  <c r="W20"/>
  <c r="W14"/>
  <c r="V15"/>
  <c r="V16"/>
  <c r="V17"/>
  <c r="V18"/>
  <c r="V20"/>
  <c r="V14"/>
  <c r="U15"/>
  <c r="U16"/>
  <c r="U17"/>
  <c r="U18"/>
  <c r="U19"/>
  <c r="U20"/>
  <c r="U14"/>
  <c r="T17"/>
  <c r="T15"/>
  <c r="T16"/>
  <c r="T18"/>
  <c r="T19"/>
  <c r="T20"/>
  <c r="T14"/>
  <c r="S15"/>
  <c r="S16"/>
  <c r="S17"/>
  <c r="S18"/>
  <c r="S19"/>
  <c r="S20"/>
  <c r="S14"/>
  <c r="R20"/>
  <c r="R15"/>
  <c r="R16"/>
  <c r="R17"/>
  <c r="R18"/>
  <c r="R19"/>
  <c r="R14"/>
  <c r="R2"/>
  <c r="V3"/>
  <c r="P8"/>
  <c r="P3"/>
  <c r="P4"/>
  <c r="P5"/>
  <c r="P6"/>
  <c r="P7"/>
  <c r="P2"/>
  <c r="O3"/>
  <c r="O4"/>
  <c r="O5"/>
  <c r="O6"/>
  <c r="O7"/>
  <c r="O8"/>
  <c r="O2"/>
  <c r="N3"/>
  <c r="T3" s="1"/>
  <c r="U3" s="1"/>
  <c r="N4"/>
  <c r="T4" s="1"/>
  <c r="U4" s="1"/>
  <c r="N5"/>
  <c r="R5" s="1"/>
  <c r="S5" s="1"/>
  <c r="N6"/>
  <c r="R6" s="1"/>
  <c r="S6" s="1"/>
  <c r="N7"/>
  <c r="R7" s="1"/>
  <c r="S7" s="1"/>
  <c r="N8"/>
  <c r="R8" s="1"/>
  <c r="S8" s="1"/>
  <c r="N2"/>
  <c r="V2" s="1"/>
  <c r="W2" s="1"/>
  <c r="M78" i="1" l="1"/>
  <c r="R78" s="1"/>
  <c r="S78" s="1"/>
  <c r="O78"/>
  <c r="Q78" s="1"/>
  <c r="M77"/>
  <c r="R77" s="1"/>
  <c r="S77" s="1"/>
  <c r="AM77"/>
  <c r="O76"/>
  <c r="Q76" s="1"/>
  <c r="AM76"/>
  <c r="N76"/>
  <c r="R76" s="1"/>
  <c r="S76" s="1"/>
  <c r="N75"/>
  <c r="R75" s="1"/>
  <c r="T75" s="1"/>
  <c r="O75"/>
  <c r="Q75" s="1"/>
  <c r="AL75"/>
  <c r="AM74"/>
  <c r="N74"/>
  <c r="O74"/>
  <c r="Q74" s="1"/>
  <c r="M74"/>
  <c r="AL73"/>
  <c r="N73"/>
  <c r="O73"/>
  <c r="Q73"/>
  <c r="M73"/>
  <c r="U144"/>
  <c r="X144"/>
  <c r="U136"/>
  <c r="X136"/>
  <c r="U134"/>
  <c r="X134"/>
  <c r="U132"/>
  <c r="X132"/>
  <c r="U130"/>
  <c r="X130"/>
  <c r="U128"/>
  <c r="X128"/>
  <c r="U126"/>
  <c r="X126"/>
  <c r="U124"/>
  <c r="X124"/>
  <c r="U122"/>
  <c r="X122"/>
  <c r="U120"/>
  <c r="X120"/>
  <c r="U118"/>
  <c r="X118"/>
  <c r="U116"/>
  <c r="X116"/>
  <c r="U114"/>
  <c r="X114"/>
  <c r="U112"/>
  <c r="X112"/>
  <c r="U110"/>
  <c r="X110"/>
  <c r="U108"/>
  <c r="X108"/>
  <c r="U106"/>
  <c r="X106"/>
  <c r="U104"/>
  <c r="X104"/>
  <c r="U102"/>
  <c r="X102"/>
  <c r="U100"/>
  <c r="X100"/>
  <c r="U98"/>
  <c r="X98"/>
  <c r="U96"/>
  <c r="X96"/>
  <c r="U94"/>
  <c r="X94"/>
  <c r="U90"/>
  <c r="X90"/>
  <c r="U62"/>
  <c r="X62"/>
  <c r="X135"/>
  <c r="X133"/>
  <c r="X131"/>
  <c r="U131" s="1"/>
  <c r="X129"/>
  <c r="U129" s="1"/>
  <c r="X127"/>
  <c r="U127" s="1"/>
  <c r="X125"/>
  <c r="U125" s="1"/>
  <c r="X123"/>
  <c r="U123" s="1"/>
  <c r="X121"/>
  <c r="U121" s="1"/>
  <c r="X119"/>
  <c r="X117"/>
  <c r="X115"/>
  <c r="U115" s="1"/>
  <c r="X113"/>
  <c r="U113" s="1"/>
  <c r="X111"/>
  <c r="U111" s="1"/>
  <c r="X109"/>
  <c r="U109" s="1"/>
  <c r="X107"/>
  <c r="U107" s="1"/>
  <c r="X105"/>
  <c r="U105" s="1"/>
  <c r="X103"/>
  <c r="X101"/>
  <c r="X99"/>
  <c r="U99" s="1"/>
  <c r="X97"/>
  <c r="U97" s="1"/>
  <c r="X95"/>
  <c r="U95" s="1"/>
  <c r="X93"/>
  <c r="U93" s="1"/>
  <c r="U92"/>
  <c r="X92"/>
  <c r="U72"/>
  <c r="X72"/>
  <c r="Z69"/>
  <c r="AG69"/>
  <c r="U138"/>
  <c r="X138"/>
  <c r="U66"/>
  <c r="X66"/>
  <c r="Y63"/>
  <c r="AF63"/>
  <c r="U80"/>
  <c r="X80"/>
  <c r="U140"/>
  <c r="X140"/>
  <c r="U82"/>
  <c r="X82"/>
  <c r="U70"/>
  <c r="X70"/>
  <c r="Y67"/>
  <c r="AF67"/>
  <c r="U84"/>
  <c r="X84"/>
  <c r="U64"/>
  <c r="X64"/>
  <c r="Y61"/>
  <c r="AF61"/>
  <c r="U142"/>
  <c r="X142"/>
  <c r="U86"/>
  <c r="X86"/>
  <c r="Y71"/>
  <c r="AF71"/>
  <c r="U88"/>
  <c r="X88"/>
  <c r="U68"/>
  <c r="X68"/>
  <c r="Z65"/>
  <c r="AG65"/>
  <c r="U143"/>
  <c r="U141"/>
  <c r="U139"/>
  <c r="U137"/>
  <c r="U135"/>
  <c r="U133"/>
  <c r="U119"/>
  <c r="U117"/>
  <c r="U103"/>
  <c r="U101"/>
  <c r="U91"/>
  <c r="U89"/>
  <c r="U87"/>
  <c r="U85"/>
  <c r="U83"/>
  <c r="U81"/>
  <c r="U79"/>
  <c r="U71"/>
  <c r="U69"/>
  <c r="U67"/>
  <c r="U65"/>
  <c r="U63"/>
  <c r="U61"/>
  <c r="U60"/>
  <c r="X60"/>
  <c r="AM28"/>
  <c r="AM7"/>
  <c r="AL21"/>
  <c r="AM36"/>
  <c r="AL12"/>
  <c r="AL53"/>
  <c r="AL40"/>
  <c r="AM56"/>
  <c r="AM37"/>
  <c r="AL55"/>
  <c r="AL42"/>
  <c r="AM59"/>
  <c r="AL51"/>
  <c r="AM54"/>
  <c r="AL13"/>
  <c r="AL43"/>
  <c r="AM31"/>
  <c r="AL44"/>
  <c r="AM6"/>
  <c r="AM48"/>
  <c r="AL58"/>
  <c r="AM26"/>
  <c r="AL10"/>
  <c r="AM27"/>
  <c r="AL20"/>
  <c r="A347" i="9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BR7" i="1"/>
  <c r="BR8"/>
  <c r="BQ8"/>
  <c r="AT6"/>
  <c r="BO7"/>
  <c r="AS6"/>
  <c r="AV6"/>
  <c r="AU6"/>
  <c r="BP10"/>
  <c r="BR9"/>
  <c r="BQ9"/>
  <c r="BE8"/>
  <c r="AZ8"/>
  <c r="AZ9" s="1"/>
  <c r="AZ10" s="1"/>
  <c r="AZ11" s="1"/>
  <c r="AZ12" s="1"/>
  <c r="AZ13" s="1"/>
  <c r="AZ14" s="1"/>
  <c r="AZ15" s="1"/>
  <c r="AZ16" s="1"/>
  <c r="BG7"/>
  <c r="BN7"/>
  <c r="U17" i="8"/>
  <c r="V17"/>
  <c r="U51"/>
  <c r="V51"/>
  <c r="U50"/>
  <c r="V50"/>
  <c r="R18"/>
  <c r="R54"/>
  <c r="U5"/>
  <c r="V5"/>
  <c r="U6"/>
  <c r="V6"/>
  <c r="U8"/>
  <c r="V8"/>
  <c r="V26"/>
  <c r="Q27"/>
  <c r="R9"/>
  <c r="V11"/>
  <c r="R30"/>
  <c r="Q39"/>
  <c r="R52"/>
  <c r="U3"/>
  <c r="V3"/>
  <c r="U21"/>
  <c r="V21"/>
  <c r="U22"/>
  <c r="V22"/>
  <c r="V38"/>
  <c r="U38" s="1"/>
  <c r="U56"/>
  <c r="U57"/>
  <c r="V57"/>
  <c r="R42"/>
  <c r="U12"/>
  <c r="V12"/>
  <c r="V20"/>
  <c r="U20"/>
  <c r="U11"/>
  <c r="R28"/>
  <c r="U45"/>
  <c r="V45"/>
  <c r="V46"/>
  <c r="U49"/>
  <c r="V49"/>
  <c r="V32"/>
  <c r="V33"/>
  <c r="U33" s="1"/>
  <c r="V34"/>
  <c r="U34" s="1"/>
  <c r="U44"/>
  <c r="U35"/>
  <c r="U25"/>
  <c r="V25"/>
  <c r="V7"/>
  <c r="R4"/>
  <c r="R13"/>
  <c r="O4"/>
  <c r="Q4" s="1"/>
  <c r="M7"/>
  <c r="R7" s="1"/>
  <c r="BB8"/>
  <c r="N10"/>
  <c r="R10" s="1"/>
  <c r="O24"/>
  <c r="Q24" s="1"/>
  <c r="M26"/>
  <c r="R26" s="1"/>
  <c r="N37"/>
  <c r="R37" s="1"/>
  <c r="AJ8"/>
  <c r="AO9"/>
  <c r="N24"/>
  <c r="R24" s="1"/>
  <c r="N59"/>
  <c r="R59" s="1"/>
  <c r="AQ7"/>
  <c r="BB9"/>
  <c r="AZ11"/>
  <c r="N13"/>
  <c r="P16"/>
  <c r="P19"/>
  <c r="P31"/>
  <c r="P43"/>
  <c r="Q43" s="1"/>
  <c r="P55"/>
  <c r="AU8"/>
  <c r="V15"/>
  <c r="O16"/>
  <c r="O19"/>
  <c r="O31"/>
  <c r="V36"/>
  <c r="O43"/>
  <c r="V48"/>
  <c r="U48" s="1"/>
  <c r="O55"/>
  <c r="O2"/>
  <c r="Q2" s="1"/>
  <c r="AN7"/>
  <c r="O9"/>
  <c r="Q9" s="1"/>
  <c r="P14"/>
  <c r="Q14" s="1"/>
  <c r="N16"/>
  <c r="R16" s="1"/>
  <c r="O18"/>
  <c r="Q18" s="1"/>
  <c r="N19"/>
  <c r="R19" s="1"/>
  <c r="V23"/>
  <c r="P29"/>
  <c r="O30"/>
  <c r="Q30" s="1"/>
  <c r="N31"/>
  <c r="R31" s="1"/>
  <c r="V35"/>
  <c r="P41"/>
  <c r="Q41" s="1"/>
  <c r="O42"/>
  <c r="Q42" s="1"/>
  <c r="N43"/>
  <c r="R43" s="1"/>
  <c r="V47"/>
  <c r="P53"/>
  <c r="Q53" s="1"/>
  <c r="O54"/>
  <c r="Q54" s="1"/>
  <c r="N55"/>
  <c r="R55" s="1"/>
  <c r="O14"/>
  <c r="P28"/>
  <c r="O29"/>
  <c r="P40"/>
  <c r="Q40" s="1"/>
  <c r="O41"/>
  <c r="P52"/>
  <c r="O53"/>
  <c r="AQ8"/>
  <c r="BB10"/>
  <c r="N14"/>
  <c r="R14" s="1"/>
  <c r="O28"/>
  <c r="N29"/>
  <c r="R29" s="1"/>
  <c r="O40"/>
  <c r="N41"/>
  <c r="R41" s="1"/>
  <c r="O52"/>
  <c r="N53"/>
  <c r="R53" s="1"/>
  <c r="U58"/>
  <c r="BD7" i="1"/>
  <c r="BC7"/>
  <c r="BK9"/>
  <c r="BN8"/>
  <c r="BO8"/>
  <c r="BD6"/>
  <c r="BC6"/>
  <c r="P5"/>
  <c r="N2"/>
  <c r="R2" s="1"/>
  <c r="O2"/>
  <c r="P2"/>
  <c r="P3"/>
  <c r="N5"/>
  <c r="R5" s="1"/>
  <c r="S5" s="1"/>
  <c r="M4"/>
  <c r="N3"/>
  <c r="R3" s="1"/>
  <c r="S3" s="1"/>
  <c r="O5"/>
  <c r="N4"/>
  <c r="O3"/>
  <c r="O4"/>
  <c r="Q4" s="1"/>
  <c r="M7"/>
  <c r="R7" s="1"/>
  <c r="S7" s="1"/>
  <c r="P7"/>
  <c r="O7"/>
  <c r="M42"/>
  <c r="O58"/>
  <c r="P58"/>
  <c r="M59"/>
  <c r="O57"/>
  <c r="Q57" s="1"/>
  <c r="P51"/>
  <c r="M58"/>
  <c r="R58" s="1"/>
  <c r="T58" s="1"/>
  <c r="M56"/>
  <c r="N59"/>
  <c r="O59"/>
  <c r="Q59" s="1"/>
  <c r="M57"/>
  <c r="N57"/>
  <c r="O34"/>
  <c r="Q34" s="1"/>
  <c r="M52"/>
  <c r="O55"/>
  <c r="N52"/>
  <c r="N42"/>
  <c r="N44"/>
  <c r="O52"/>
  <c r="Q52" s="1"/>
  <c r="M35"/>
  <c r="N46"/>
  <c r="P42"/>
  <c r="Q42" s="1"/>
  <c r="P47"/>
  <c r="O49"/>
  <c r="O39"/>
  <c r="Q39" s="1"/>
  <c r="M44"/>
  <c r="O51"/>
  <c r="M33"/>
  <c r="R33" s="1"/>
  <c r="T33" s="1"/>
  <c r="M47"/>
  <c r="R47" s="1"/>
  <c r="T47" s="1"/>
  <c r="O35"/>
  <c r="Q35" s="1"/>
  <c r="N39"/>
  <c r="M17"/>
  <c r="M39"/>
  <c r="O47"/>
  <c r="N38"/>
  <c r="R38" s="1"/>
  <c r="S38" s="1"/>
  <c r="N43"/>
  <c r="R43" s="1"/>
  <c r="T43" s="1"/>
  <c r="P49"/>
  <c r="M50"/>
  <c r="M53"/>
  <c r="P55"/>
  <c r="N56"/>
  <c r="M36"/>
  <c r="O38"/>
  <c r="O43"/>
  <c r="N50"/>
  <c r="N53"/>
  <c r="P38"/>
  <c r="O56"/>
  <c r="Q56" s="1"/>
  <c r="P43"/>
  <c r="O33"/>
  <c r="P36"/>
  <c r="Q36" s="1"/>
  <c r="M45"/>
  <c r="O50"/>
  <c r="Q50" s="1"/>
  <c r="O53"/>
  <c r="Q53" s="1"/>
  <c r="N21"/>
  <c r="P33"/>
  <c r="M34"/>
  <c r="O44"/>
  <c r="Q44" s="1"/>
  <c r="N45"/>
  <c r="M51"/>
  <c r="R51" s="1"/>
  <c r="T51" s="1"/>
  <c r="M54"/>
  <c r="N34"/>
  <c r="M46"/>
  <c r="N54"/>
  <c r="O45"/>
  <c r="Q45" s="1"/>
  <c r="O54"/>
  <c r="Q54" s="1"/>
  <c r="M55"/>
  <c r="R55" s="1"/>
  <c r="T55" s="1"/>
  <c r="P37"/>
  <c r="M49"/>
  <c r="R49" s="1"/>
  <c r="T49" s="1"/>
  <c r="N35"/>
  <c r="O46"/>
  <c r="Q46" s="1"/>
  <c r="N32"/>
  <c r="M48"/>
  <c r="P48"/>
  <c r="Q48" s="1"/>
  <c r="N48"/>
  <c r="M28"/>
  <c r="N37"/>
  <c r="R37" s="1"/>
  <c r="S37" s="1"/>
  <c r="P41"/>
  <c r="O37"/>
  <c r="O41"/>
  <c r="O17"/>
  <c r="Q17" s="1"/>
  <c r="N41"/>
  <c r="R41" s="1"/>
  <c r="S41" s="1"/>
  <c r="N36"/>
  <c r="N29"/>
  <c r="O40"/>
  <c r="Q40" s="1"/>
  <c r="M40"/>
  <c r="N40"/>
  <c r="M32"/>
  <c r="O32"/>
  <c r="Q32" s="1"/>
  <c r="P31"/>
  <c r="Q31" s="1"/>
  <c r="M16"/>
  <c r="N17"/>
  <c r="N2" i="6"/>
  <c r="S2" s="1"/>
  <c r="T2" s="1"/>
  <c r="Q2"/>
  <c r="P2"/>
  <c r="N1"/>
  <c r="S1" s="1"/>
  <c r="T1" s="1"/>
  <c r="Q1"/>
  <c r="R1" s="1"/>
  <c r="P1"/>
  <c r="P19" i="1"/>
  <c r="N6"/>
  <c r="O29"/>
  <c r="Q29" s="1"/>
  <c r="N13"/>
  <c r="O25"/>
  <c r="Q25" s="1"/>
  <c r="M31"/>
  <c r="O13"/>
  <c r="Q13" s="1"/>
  <c r="O19"/>
  <c r="O21"/>
  <c r="N25"/>
  <c r="P10"/>
  <c r="N20"/>
  <c r="M20"/>
  <c r="O28"/>
  <c r="O20"/>
  <c r="Q20" s="1"/>
  <c r="N16"/>
  <c r="N28"/>
  <c r="O16"/>
  <c r="O6"/>
  <c r="M29"/>
  <c r="M21"/>
  <c r="P8"/>
  <c r="Q8" s="1"/>
  <c r="M9"/>
  <c r="N31"/>
  <c r="O22"/>
  <c r="M19"/>
  <c r="R19" s="1"/>
  <c r="S19" s="1"/>
  <c r="N10"/>
  <c r="R10" s="1"/>
  <c r="T10" s="1"/>
  <c r="N9"/>
  <c r="N22"/>
  <c r="R22" s="1"/>
  <c r="O9"/>
  <c r="P22"/>
  <c r="O10"/>
  <c r="M25"/>
  <c r="M13"/>
  <c r="M6"/>
  <c r="M26"/>
  <c r="M23"/>
  <c r="M14"/>
  <c r="M11"/>
  <c r="M8"/>
  <c r="N8"/>
  <c r="N12"/>
  <c r="O12"/>
  <c r="N26"/>
  <c r="N23"/>
  <c r="N14"/>
  <c r="N11"/>
  <c r="O26"/>
  <c r="O23"/>
  <c r="Q23" s="1"/>
  <c r="O14"/>
  <c r="Q14" s="1"/>
  <c r="O11"/>
  <c r="Q11" s="1"/>
  <c r="M30"/>
  <c r="M27"/>
  <c r="M24"/>
  <c r="M18"/>
  <c r="M15"/>
  <c r="M12"/>
  <c r="N30"/>
  <c r="N27"/>
  <c r="N24"/>
  <c r="N18"/>
  <c r="N15"/>
  <c r="O30"/>
  <c r="O27"/>
  <c r="O24"/>
  <c r="O18"/>
  <c r="O15"/>
  <c r="L3" i="5"/>
  <c r="L12"/>
  <c r="L7"/>
  <c r="L5"/>
  <c r="L6"/>
  <c r="L11"/>
  <c r="L13"/>
  <c r="L2"/>
  <c r="H14"/>
  <c r="H2"/>
  <c r="H3"/>
  <c r="H4"/>
  <c r="H7"/>
  <c r="H5"/>
  <c r="H6"/>
  <c r="H8"/>
  <c r="H13"/>
  <c r="H9"/>
  <c r="H10"/>
  <c r="H11"/>
  <c r="G4"/>
  <c r="G14"/>
  <c r="G5"/>
  <c r="G13"/>
  <c r="G3"/>
  <c r="G6"/>
  <c r="G2"/>
  <c r="G7"/>
  <c r="G10"/>
  <c r="G9"/>
  <c r="G11"/>
  <c r="G8"/>
  <c r="T2" i="2"/>
  <c r="U2" s="1"/>
  <c r="S2"/>
  <c r="V4"/>
  <c r="W4" s="1"/>
  <c r="V5"/>
  <c r="W5" s="1"/>
  <c r="V8"/>
  <c r="W8" s="1"/>
  <c r="W3"/>
  <c r="V6"/>
  <c r="W6" s="1"/>
  <c r="T6"/>
  <c r="U6" s="1"/>
  <c r="T7"/>
  <c r="U7" s="1"/>
  <c r="T8"/>
  <c r="U8" s="1"/>
  <c r="T5"/>
  <c r="U5" s="1"/>
  <c r="V7"/>
  <c r="W7" s="1"/>
  <c r="T11" s="1"/>
  <c r="R3"/>
  <c r="S3" s="1"/>
  <c r="R11" s="1"/>
  <c r="R4"/>
  <c r="S4" s="1"/>
  <c r="X78" i="1" l="1"/>
  <c r="AF78" s="1"/>
  <c r="X77"/>
  <c r="U76"/>
  <c r="AD76" s="1"/>
  <c r="X76"/>
  <c r="AF76" s="1"/>
  <c r="X75"/>
  <c r="U75" s="1"/>
  <c r="X74"/>
  <c r="AF74" s="1"/>
  <c r="R74"/>
  <c r="S74" s="1"/>
  <c r="R73"/>
  <c r="V67"/>
  <c r="AD67"/>
  <c r="W70"/>
  <c r="AE70"/>
  <c r="Z70"/>
  <c r="AG70"/>
  <c r="W66"/>
  <c r="AE66"/>
  <c r="V64"/>
  <c r="AD64"/>
  <c r="V71"/>
  <c r="AD71"/>
  <c r="W68"/>
  <c r="AE68"/>
  <c r="W69"/>
  <c r="AE69"/>
  <c r="Z68"/>
  <c r="AG68"/>
  <c r="W65"/>
  <c r="AE65"/>
  <c r="Y64"/>
  <c r="AF64"/>
  <c r="V63"/>
  <c r="AD63"/>
  <c r="Z66"/>
  <c r="AG66"/>
  <c r="W72"/>
  <c r="AE72"/>
  <c r="W62"/>
  <c r="AE62"/>
  <c r="V61"/>
  <c r="AD61"/>
  <c r="Z62"/>
  <c r="AG62"/>
  <c r="Z72"/>
  <c r="AG72"/>
  <c r="AF60"/>
  <c r="Y60"/>
  <c r="BI60"/>
  <c r="AD60"/>
  <c r="V60"/>
  <c r="AX60"/>
  <c r="BC15"/>
  <c r="BP11"/>
  <c r="BR10"/>
  <c r="BQ10"/>
  <c r="BD15"/>
  <c r="BF8"/>
  <c r="BG8"/>
  <c r="BE9"/>
  <c r="BC16"/>
  <c r="BD16"/>
  <c r="V10" i="8"/>
  <c r="U42"/>
  <c r="V42"/>
  <c r="V37"/>
  <c r="U30"/>
  <c r="V30"/>
  <c r="U9"/>
  <c r="V9"/>
  <c r="U18"/>
  <c r="V18"/>
  <c r="V59"/>
  <c r="U14"/>
  <c r="V14"/>
  <c r="U47"/>
  <c r="U27"/>
  <c r="V27"/>
  <c r="U4"/>
  <c r="V4"/>
  <c r="AC2"/>
  <c r="AZ12"/>
  <c r="BA11"/>
  <c r="BB11"/>
  <c r="U13"/>
  <c r="Q29"/>
  <c r="U36"/>
  <c r="V13"/>
  <c r="V53"/>
  <c r="Q28"/>
  <c r="Q16"/>
  <c r="U23"/>
  <c r="U24"/>
  <c r="V24"/>
  <c r="Q19"/>
  <c r="U32"/>
  <c r="U15"/>
  <c r="V54"/>
  <c r="U54" s="1"/>
  <c r="U40"/>
  <c r="V40"/>
  <c r="AB2"/>
  <c r="U2"/>
  <c r="AE2" s="1"/>
  <c r="V2"/>
  <c r="Q31"/>
  <c r="V43"/>
  <c r="U43" s="1"/>
  <c r="U39"/>
  <c r="V39"/>
  <c r="AJ9"/>
  <c r="AM8"/>
  <c r="AN8"/>
  <c r="Q52"/>
  <c r="Q55"/>
  <c r="U41"/>
  <c r="V41"/>
  <c r="AU9"/>
  <c r="AX8"/>
  <c r="AY8"/>
  <c r="AO10"/>
  <c r="AP9"/>
  <c r="AQ9"/>
  <c r="U7"/>
  <c r="U46"/>
  <c r="U26"/>
  <c r="BD8" i="1"/>
  <c r="BC8"/>
  <c r="BK10"/>
  <c r="BN9"/>
  <c r="BO9"/>
  <c r="Q3"/>
  <c r="X3" s="1"/>
  <c r="S2"/>
  <c r="Q2"/>
  <c r="Q5"/>
  <c r="X5" s="1"/>
  <c r="R4"/>
  <c r="S4" s="1"/>
  <c r="Q7"/>
  <c r="R42"/>
  <c r="X42" s="1"/>
  <c r="Q33"/>
  <c r="X33" s="1"/>
  <c r="Q58"/>
  <c r="X58" s="1"/>
  <c r="R52"/>
  <c r="T52" s="1"/>
  <c r="R36"/>
  <c r="X36" s="1"/>
  <c r="Q38"/>
  <c r="X38" s="1"/>
  <c r="R44"/>
  <c r="T44" s="1"/>
  <c r="R56"/>
  <c r="S56" s="1"/>
  <c r="R34"/>
  <c r="S34" s="1"/>
  <c r="R59"/>
  <c r="S59" s="1"/>
  <c r="R57"/>
  <c r="T57" s="1"/>
  <c r="R21"/>
  <c r="T21" s="1"/>
  <c r="Q49"/>
  <c r="X49" s="1"/>
  <c r="R50"/>
  <c r="T50" s="1"/>
  <c r="Q51"/>
  <c r="X51" s="1"/>
  <c r="R24"/>
  <c r="T24" s="1"/>
  <c r="R35"/>
  <c r="X35" s="1"/>
  <c r="Q37"/>
  <c r="X37" s="1"/>
  <c r="R32"/>
  <c r="S32" s="1"/>
  <c r="R46"/>
  <c r="T46" s="1"/>
  <c r="Q55"/>
  <c r="Q41"/>
  <c r="X41" s="1"/>
  <c r="R17"/>
  <c r="T17" s="1"/>
  <c r="R39"/>
  <c r="T39" s="1"/>
  <c r="Q47"/>
  <c r="X47" s="1"/>
  <c r="R28"/>
  <c r="S28" s="1"/>
  <c r="Q43"/>
  <c r="X43" s="1"/>
  <c r="R54"/>
  <c r="S54" s="1"/>
  <c r="R53"/>
  <c r="T53" s="1"/>
  <c r="R45"/>
  <c r="S45" s="1"/>
  <c r="R16"/>
  <c r="T16" s="1"/>
  <c r="R48"/>
  <c r="S48" s="1"/>
  <c r="R14"/>
  <c r="S14" s="1"/>
  <c r="R40"/>
  <c r="R29"/>
  <c r="S29" s="1"/>
  <c r="R25"/>
  <c r="T25" s="1"/>
  <c r="R18"/>
  <c r="T18" s="1"/>
  <c r="R6"/>
  <c r="S6" s="1"/>
  <c r="R9"/>
  <c r="S9" s="1"/>
  <c r="R26"/>
  <c r="S26" s="1"/>
  <c r="R23"/>
  <c r="T23" s="1"/>
  <c r="R2" i="6"/>
  <c r="V1"/>
  <c r="W1" s="1"/>
  <c r="T22" i="1"/>
  <c r="S22"/>
  <c r="R30"/>
  <c r="S30" s="1"/>
  <c r="R8"/>
  <c r="S8" s="1"/>
  <c r="R20"/>
  <c r="T20" s="1"/>
  <c r="Q19"/>
  <c r="R11"/>
  <c r="T11" s="1"/>
  <c r="R27"/>
  <c r="S27" s="1"/>
  <c r="Q22"/>
  <c r="R15"/>
  <c r="T15" s="1"/>
  <c r="R31"/>
  <c r="S31" s="1"/>
  <c r="R12"/>
  <c r="T12" s="1"/>
  <c r="R13"/>
  <c r="T13" s="1"/>
  <c r="Q27"/>
  <c r="Q24"/>
  <c r="Q18"/>
  <c r="Q16"/>
  <c r="Q21"/>
  <c r="Q6"/>
  <c r="Q9"/>
  <c r="Q10"/>
  <c r="Q30"/>
  <c r="Q26"/>
  <c r="Q12"/>
  <c r="Q15"/>
  <c r="Q28"/>
  <c r="S11" i="2"/>
  <c r="U78" i="1" l="1"/>
  <c r="Y78"/>
  <c r="U77"/>
  <c r="Y77"/>
  <c r="AF77"/>
  <c r="Y76"/>
  <c r="V76"/>
  <c r="AE75"/>
  <c r="AI75" s="1"/>
  <c r="W75"/>
  <c r="Z75"/>
  <c r="AG75"/>
  <c r="U74"/>
  <c r="Y74"/>
  <c r="T73"/>
  <c r="X73"/>
  <c r="AK72"/>
  <c r="AM72" s="1"/>
  <c r="AI72"/>
  <c r="AH63"/>
  <c r="AJ63"/>
  <c r="AL63" s="1"/>
  <c r="AH71"/>
  <c r="AJ71"/>
  <c r="AL71" s="1"/>
  <c r="AH67"/>
  <c r="AJ67"/>
  <c r="AL67" s="1"/>
  <c r="AK62"/>
  <c r="AM62" s="1"/>
  <c r="AI62"/>
  <c r="AK65"/>
  <c r="AM65" s="1"/>
  <c r="AI65"/>
  <c r="AK69"/>
  <c r="AM69" s="1"/>
  <c r="AI69"/>
  <c r="AK66"/>
  <c r="AM66" s="1"/>
  <c r="AI66"/>
  <c r="AK70"/>
  <c r="AM70" s="1"/>
  <c r="AI70"/>
  <c r="AK68"/>
  <c r="AM68" s="1"/>
  <c r="AI68"/>
  <c r="AH61"/>
  <c r="AJ61"/>
  <c r="AL61" s="1"/>
  <c r="AJ64"/>
  <c r="AL64" s="1"/>
  <c r="AH64"/>
  <c r="AJ76"/>
  <c r="AL76" s="1"/>
  <c r="AH76"/>
  <c r="AJ60"/>
  <c r="AL60" s="1"/>
  <c r="AH60"/>
  <c r="Z43"/>
  <c r="Y5"/>
  <c r="Y3"/>
  <c r="BJ58"/>
  <c r="Z58"/>
  <c r="BJ35"/>
  <c r="Z35"/>
  <c r="BI38"/>
  <c r="Y38"/>
  <c r="BI37"/>
  <c r="Y37"/>
  <c r="BI36"/>
  <c r="Y36"/>
  <c r="BJ47"/>
  <c r="Z47"/>
  <c r="BJ49"/>
  <c r="Z49"/>
  <c r="BJ42"/>
  <c r="Z42"/>
  <c r="BJ51"/>
  <c r="Z51"/>
  <c r="BI41"/>
  <c r="Y41"/>
  <c r="BJ33"/>
  <c r="Z33"/>
  <c r="BP12"/>
  <c r="BR11"/>
  <c r="BQ11"/>
  <c r="BE10"/>
  <c r="BG9"/>
  <c r="BF9"/>
  <c r="BJ43"/>
  <c r="U31" i="8"/>
  <c r="V31"/>
  <c r="V19"/>
  <c r="U10"/>
  <c r="V55"/>
  <c r="U55" s="1"/>
  <c r="V28"/>
  <c r="U59"/>
  <c r="AX9"/>
  <c r="AY9"/>
  <c r="AU10"/>
  <c r="V16"/>
  <c r="U37"/>
  <c r="U29"/>
  <c r="V29"/>
  <c r="AD2"/>
  <c r="U52"/>
  <c r="V52"/>
  <c r="BA12"/>
  <c r="BB12"/>
  <c r="AZ13"/>
  <c r="AP10"/>
  <c r="AQ10"/>
  <c r="AO11"/>
  <c r="AJ10"/>
  <c r="AM9"/>
  <c r="AN9"/>
  <c r="U53"/>
  <c r="BC9" i="1"/>
  <c r="BD9"/>
  <c r="BK11"/>
  <c r="BN10"/>
  <c r="BO10"/>
  <c r="X52"/>
  <c r="AR2"/>
  <c r="AS2"/>
  <c r="X2"/>
  <c r="X4"/>
  <c r="U3"/>
  <c r="U5"/>
  <c r="S36"/>
  <c r="X7"/>
  <c r="T42"/>
  <c r="X34"/>
  <c r="X39"/>
  <c r="X50"/>
  <c r="X53"/>
  <c r="X23"/>
  <c r="X32"/>
  <c r="X44"/>
  <c r="X59"/>
  <c r="X57"/>
  <c r="U47"/>
  <c r="U58"/>
  <c r="U36"/>
  <c r="U35"/>
  <c r="U37"/>
  <c r="U42"/>
  <c r="U33"/>
  <c r="U41"/>
  <c r="U49"/>
  <c r="X14"/>
  <c r="U38"/>
  <c r="U51"/>
  <c r="X17"/>
  <c r="X56"/>
  <c r="U43"/>
  <c r="X54"/>
  <c r="X55"/>
  <c r="X29"/>
  <c r="T35"/>
  <c r="X46"/>
  <c r="X45"/>
  <c r="X48"/>
  <c r="T40"/>
  <c r="X40"/>
  <c r="X25"/>
  <c r="X11"/>
  <c r="V2" i="6"/>
  <c r="W2" s="1"/>
  <c r="X9" i="1"/>
  <c r="X22"/>
  <c r="X26"/>
  <c r="X15"/>
  <c r="X28"/>
  <c r="X27"/>
  <c r="X31"/>
  <c r="X10"/>
  <c r="X30"/>
  <c r="X19"/>
  <c r="X12"/>
  <c r="X24"/>
  <c r="X18"/>
  <c r="X16"/>
  <c r="X21"/>
  <c r="X6"/>
  <c r="X13"/>
  <c r="X8"/>
  <c r="X20"/>
  <c r="AD78" l="1"/>
  <c r="V78"/>
  <c r="V77"/>
  <c r="AD77"/>
  <c r="AK75"/>
  <c r="AM75" s="1"/>
  <c r="AD74"/>
  <c r="V74"/>
  <c r="U73"/>
  <c r="AG73"/>
  <c r="Z73"/>
  <c r="AF6"/>
  <c r="AG35"/>
  <c r="AF19"/>
  <c r="Y32"/>
  <c r="AF32"/>
  <c r="Y59"/>
  <c r="AF59"/>
  <c r="Z57"/>
  <c r="AG57"/>
  <c r="AG46"/>
  <c r="AF27"/>
  <c r="AF48"/>
  <c r="AG10"/>
  <c r="AF30"/>
  <c r="AG40"/>
  <c r="AG49"/>
  <c r="AF56"/>
  <c r="AG42"/>
  <c r="Y7"/>
  <c r="AF7"/>
  <c r="Y34"/>
  <c r="AF34"/>
  <c r="AG11"/>
  <c r="AG24"/>
  <c r="AG18"/>
  <c r="AG33"/>
  <c r="AG43"/>
  <c r="Z39"/>
  <c r="AG39"/>
  <c r="AG17"/>
  <c r="AF3"/>
  <c r="AG12"/>
  <c r="AF37"/>
  <c r="AF54"/>
  <c r="AF22"/>
  <c r="AG47"/>
  <c r="Z50"/>
  <c r="AG50"/>
  <c r="Z52"/>
  <c r="AG52"/>
  <c r="AG25"/>
  <c r="AG51"/>
  <c r="AG58"/>
  <c r="AF9"/>
  <c r="AG16"/>
  <c r="AG55"/>
  <c r="AG21"/>
  <c r="AF26"/>
  <c r="AF29"/>
  <c r="Y2"/>
  <c r="AF2"/>
  <c r="AF28"/>
  <c r="Z13"/>
  <c r="AG13"/>
  <c r="Z23"/>
  <c r="AG23"/>
  <c r="Z44"/>
  <c r="AG44"/>
  <c r="Y4"/>
  <c r="AF4"/>
  <c r="AF38"/>
  <c r="AF45"/>
  <c r="AF31"/>
  <c r="AF14"/>
  <c r="AF5"/>
  <c r="Z53"/>
  <c r="AG53"/>
  <c r="AG15"/>
  <c r="AF36"/>
  <c r="AF8"/>
  <c r="AG20"/>
  <c r="AF41"/>
  <c r="BI26"/>
  <c r="Y26"/>
  <c r="BI29"/>
  <c r="Y29"/>
  <c r="AY42"/>
  <c r="W42"/>
  <c r="BJ15"/>
  <c r="Z15"/>
  <c r="AY33"/>
  <c r="W33"/>
  <c r="BJ16"/>
  <c r="Z16"/>
  <c r="AX41"/>
  <c r="V41"/>
  <c r="BI27"/>
  <c r="Y27"/>
  <c r="BI45"/>
  <c r="Y45"/>
  <c r="AY49"/>
  <c r="W49"/>
  <c r="BJ55"/>
  <c r="Z55"/>
  <c r="BI8"/>
  <c r="Y8"/>
  <c r="BJ20"/>
  <c r="Z20"/>
  <c r="BI31"/>
  <c r="Y31"/>
  <c r="BI48"/>
  <c r="Y48"/>
  <c r="BI14"/>
  <c r="Y14"/>
  <c r="BJ46"/>
  <c r="Z46"/>
  <c r="BJ10"/>
  <c r="Z10"/>
  <c r="AX38"/>
  <c r="V38"/>
  <c r="V3"/>
  <c r="BI30"/>
  <c r="Y30"/>
  <c r="BJ40"/>
  <c r="Z40"/>
  <c r="AY51"/>
  <c r="W51"/>
  <c r="V5"/>
  <c r="BI28"/>
  <c r="Y28"/>
  <c r="BI19"/>
  <c r="Y19"/>
  <c r="BJ25"/>
  <c r="Z25"/>
  <c r="BJ17"/>
  <c r="Z17"/>
  <c r="AY47"/>
  <c r="W47"/>
  <c r="AX37"/>
  <c r="V37"/>
  <c r="BJ21"/>
  <c r="Z21"/>
  <c r="BJ11"/>
  <c r="Z11"/>
  <c r="AY58"/>
  <c r="W58"/>
  <c r="BJ24"/>
  <c r="Z24"/>
  <c r="AY43"/>
  <c r="W43"/>
  <c r="AX36"/>
  <c r="V36"/>
  <c r="BI22"/>
  <c r="Y22"/>
  <c r="BI6"/>
  <c r="Y6"/>
  <c r="BJ12"/>
  <c r="Z12"/>
  <c r="BI56"/>
  <c r="Y56"/>
  <c r="BJ18"/>
  <c r="Z18"/>
  <c r="BI9"/>
  <c r="Y9"/>
  <c r="BI54"/>
  <c r="Y54"/>
  <c r="AY35"/>
  <c r="W35"/>
  <c r="U57"/>
  <c r="BJ57"/>
  <c r="BP13"/>
  <c r="BQ12"/>
  <c r="BR12"/>
  <c r="BE11"/>
  <c r="BG10"/>
  <c r="BF10"/>
  <c r="BI7"/>
  <c r="BI34"/>
  <c r="U52"/>
  <c r="BJ52"/>
  <c r="U39"/>
  <c r="BJ39"/>
  <c r="BJ50"/>
  <c r="U23"/>
  <c r="BJ23"/>
  <c r="U32"/>
  <c r="BI32"/>
  <c r="BJ53"/>
  <c r="BJ44"/>
  <c r="BJ13"/>
  <c r="BI59"/>
  <c r="AM10" i="8"/>
  <c r="AN10"/>
  <c r="AJ11"/>
  <c r="AU11"/>
  <c r="AX10"/>
  <c r="AY10"/>
  <c r="U19"/>
  <c r="U16"/>
  <c r="AQ11"/>
  <c r="AP11"/>
  <c r="AO12"/>
  <c r="AZ14"/>
  <c r="BA13"/>
  <c r="BB13"/>
  <c r="U28"/>
  <c r="BC10" i="1"/>
  <c r="BD10"/>
  <c r="BN11"/>
  <c r="BO11"/>
  <c r="BK12"/>
  <c r="AT2"/>
  <c r="U2"/>
  <c r="U4"/>
  <c r="U7"/>
  <c r="AE42" s="1"/>
  <c r="U50"/>
  <c r="U53"/>
  <c r="U34"/>
  <c r="U44"/>
  <c r="U59"/>
  <c r="U28"/>
  <c r="U45"/>
  <c r="U56"/>
  <c r="U13"/>
  <c r="U27"/>
  <c r="U48"/>
  <c r="U14"/>
  <c r="U20"/>
  <c r="U10"/>
  <c r="U40"/>
  <c r="U25"/>
  <c r="U31"/>
  <c r="U11"/>
  <c r="U30"/>
  <c r="U19"/>
  <c r="U12"/>
  <c r="U9"/>
  <c r="U54"/>
  <c r="U22"/>
  <c r="U55"/>
  <c r="U8"/>
  <c r="U16"/>
  <c r="U26"/>
  <c r="U29"/>
  <c r="U18"/>
  <c r="AE18" s="1"/>
  <c r="U21"/>
  <c r="U15"/>
  <c r="U24"/>
  <c r="U6"/>
  <c r="AD41" s="1"/>
  <c r="U46"/>
  <c r="U17"/>
  <c r="AH78" l="1"/>
  <c r="AJ78"/>
  <c r="AL78" s="1"/>
  <c r="AH77"/>
  <c r="AJ77"/>
  <c r="AL77" s="1"/>
  <c r="AH74"/>
  <c r="AJ74"/>
  <c r="AL74" s="1"/>
  <c r="AE73"/>
  <c r="W73"/>
  <c r="AE39"/>
  <c r="AD3"/>
  <c r="AD9"/>
  <c r="AD28"/>
  <c r="AE21"/>
  <c r="AD4"/>
  <c r="AE51"/>
  <c r="AE25"/>
  <c r="AD31"/>
  <c r="AD5"/>
  <c r="AD54"/>
  <c r="AD22"/>
  <c r="AD2"/>
  <c r="AD45"/>
  <c r="AE15"/>
  <c r="AD7"/>
  <c r="AE35"/>
  <c r="AE24"/>
  <c r="AE13"/>
  <c r="AD6"/>
  <c r="AE11"/>
  <c r="AE49"/>
  <c r="AE46"/>
  <c r="AD30"/>
  <c r="AD34"/>
  <c r="AD32"/>
  <c r="AE58"/>
  <c r="AE17"/>
  <c r="AD26"/>
  <c r="AD19"/>
  <c r="AD14"/>
  <c r="AE44"/>
  <c r="AE52"/>
  <c r="AD38"/>
  <c r="AE10"/>
  <c r="AE40"/>
  <c r="AE43"/>
  <c r="AD56"/>
  <c r="AE33"/>
  <c r="AE55"/>
  <c r="AE50"/>
  <c r="AE23"/>
  <c r="AD8"/>
  <c r="AD27"/>
  <c r="AE53"/>
  <c r="AE57"/>
  <c r="AE47"/>
  <c r="AE16"/>
  <c r="AD48"/>
  <c r="AD37"/>
  <c r="AD29"/>
  <c r="AE12"/>
  <c r="AE20"/>
  <c r="AD59"/>
  <c r="AD36"/>
  <c r="AO10"/>
  <c r="AP10"/>
  <c r="C3" i="9" s="1"/>
  <c r="I4" s="1"/>
  <c r="AX6" i="1"/>
  <c r="V6"/>
  <c r="AX9"/>
  <c r="V9"/>
  <c r="AX27"/>
  <c r="V27"/>
  <c r="V2"/>
  <c r="AX7"/>
  <c r="V7"/>
  <c r="AY52"/>
  <c r="W52"/>
  <c r="BM21"/>
  <c r="AY50"/>
  <c r="W50"/>
  <c r="V4"/>
  <c r="AY17"/>
  <c r="W17"/>
  <c r="AY20"/>
  <c r="W20"/>
  <c r="AX8"/>
  <c r="V8"/>
  <c r="AY10"/>
  <c r="W10"/>
  <c r="AY53"/>
  <c r="W53"/>
  <c r="AY39"/>
  <c r="W39"/>
  <c r="AY57"/>
  <c r="W57"/>
  <c r="AX48"/>
  <c r="V48"/>
  <c r="AX14"/>
  <c r="V14"/>
  <c r="AY55"/>
  <c r="W55"/>
  <c r="AY16"/>
  <c r="W16"/>
  <c r="AY40"/>
  <c r="W40"/>
  <c r="AX34"/>
  <c r="V34"/>
  <c r="AY46"/>
  <c r="W46"/>
  <c r="AX22"/>
  <c r="V22"/>
  <c r="AX26"/>
  <c r="V26"/>
  <c r="AY25"/>
  <c r="W25"/>
  <c r="AY44"/>
  <c r="W44"/>
  <c r="AX31"/>
  <c r="V31"/>
  <c r="AX54"/>
  <c r="V54"/>
  <c r="AX29"/>
  <c r="V29"/>
  <c r="AY23"/>
  <c r="W23"/>
  <c r="AY21"/>
  <c r="W21"/>
  <c r="AX32"/>
  <c r="V32"/>
  <c r="AX59"/>
  <c r="V59"/>
  <c r="AY18"/>
  <c r="W18"/>
  <c r="AY11"/>
  <c r="W11"/>
  <c r="AX45"/>
  <c r="V45"/>
  <c r="AY15"/>
  <c r="W15"/>
  <c r="AX19"/>
  <c r="V19"/>
  <c r="AX56"/>
  <c r="V56"/>
  <c r="AX28"/>
  <c r="V28"/>
  <c r="AX30"/>
  <c r="V30"/>
  <c r="AY24"/>
  <c r="W24"/>
  <c r="AY12"/>
  <c r="W12"/>
  <c r="AY13"/>
  <c r="W13"/>
  <c r="BP14"/>
  <c r="BQ13"/>
  <c r="BR13"/>
  <c r="BE12"/>
  <c r="BG11"/>
  <c r="BF11"/>
  <c r="AJ12" i="8"/>
  <c r="AM11"/>
  <c r="AN11"/>
  <c r="AX11"/>
  <c r="AY11"/>
  <c r="AU12"/>
  <c r="BA14"/>
  <c r="BB14"/>
  <c r="AZ15"/>
  <c r="AO13"/>
  <c r="AP12"/>
  <c r="AQ12"/>
  <c r="BD11" i="1"/>
  <c r="BC11"/>
  <c r="BO12"/>
  <c r="BK13"/>
  <c r="BN12"/>
  <c r="AU2"/>
  <c r="AK73" l="1"/>
  <c r="AM73" s="1"/>
  <c r="AI73"/>
  <c r="AR15"/>
  <c r="BA6" a="1"/>
  <c r="BA11" s="1"/>
  <c r="B3" i="9"/>
  <c r="F4" s="1"/>
  <c r="AQ10" i="1"/>
  <c r="AR16"/>
  <c r="BB6" a="1"/>
  <c r="BB7" s="1"/>
  <c r="AO9"/>
  <c r="AH48" s="1"/>
  <c r="AP9"/>
  <c r="BB21"/>
  <c r="BA16"/>
  <c r="BA14"/>
  <c r="BA9"/>
  <c r="BE13"/>
  <c r="BG12"/>
  <c r="BF12"/>
  <c r="BP15"/>
  <c r="BQ14"/>
  <c r="BR14"/>
  <c r="AM12" i="8"/>
  <c r="AN12"/>
  <c r="AJ13"/>
  <c r="AY12"/>
  <c r="AX12"/>
  <c r="AU13"/>
  <c r="BB15"/>
  <c r="BA15"/>
  <c r="AZ16"/>
  <c r="AP13"/>
  <c r="AQ13"/>
  <c r="AO14"/>
  <c r="BO13" i="1"/>
  <c r="BK14"/>
  <c r="BN13"/>
  <c r="BC12"/>
  <c r="BD12"/>
  <c r="BA6" l="1"/>
  <c r="BA8"/>
  <c r="BA13"/>
  <c r="BA12"/>
  <c r="BA7"/>
  <c r="BA10"/>
  <c r="BA15"/>
  <c r="AH7"/>
  <c r="AH41"/>
  <c r="B2" i="9"/>
  <c r="F3" s="1"/>
  <c r="AI47" i="1"/>
  <c r="AQ9"/>
  <c r="AP13"/>
  <c r="C2" i="9"/>
  <c r="I3" s="1"/>
  <c r="AI52" i="1"/>
  <c r="AI18"/>
  <c r="BB16"/>
  <c r="BB10"/>
  <c r="AH8"/>
  <c r="AI13"/>
  <c r="BB6"/>
  <c r="AI43"/>
  <c r="AH31"/>
  <c r="AI25"/>
  <c r="AI42"/>
  <c r="AI35"/>
  <c r="AI55"/>
  <c r="AI15"/>
  <c r="BB9"/>
  <c r="AI12"/>
  <c r="AI20"/>
  <c r="BB8"/>
  <c r="AI53"/>
  <c r="AI39"/>
  <c r="BB11"/>
  <c r="AI50"/>
  <c r="AI57"/>
  <c r="AI49"/>
  <c r="AI10"/>
  <c r="AH19"/>
  <c r="AH59"/>
  <c r="AH5"/>
  <c r="AH38"/>
  <c r="AH27"/>
  <c r="BB12"/>
  <c r="AH54"/>
  <c r="AH32"/>
  <c r="AH30"/>
  <c r="AH3"/>
  <c r="AH45"/>
  <c r="AI21"/>
  <c r="AI24"/>
  <c r="AH4"/>
  <c r="AH6"/>
  <c r="AH14"/>
  <c r="AH9"/>
  <c r="BB15"/>
  <c r="AH37"/>
  <c r="AH56"/>
  <c r="AH29"/>
  <c r="AI16"/>
  <c r="BB14"/>
  <c r="AH34"/>
  <c r="AH36"/>
  <c r="AI23"/>
  <c r="AI17"/>
  <c r="AI11"/>
  <c r="BB13"/>
  <c r="AI51"/>
  <c r="AI58"/>
  <c r="AI40"/>
  <c r="AI33"/>
  <c r="AH26"/>
  <c r="AH22"/>
  <c r="AH2"/>
  <c r="AH28"/>
  <c r="AI46"/>
  <c r="AI44"/>
  <c r="BP16"/>
  <c r="BQ15"/>
  <c r="BR15"/>
  <c r="BE14"/>
  <c r="BG13"/>
  <c r="BF13"/>
  <c r="AJ14" i="8"/>
  <c r="AN13"/>
  <c r="AM13"/>
  <c r="AO15"/>
  <c r="AP14"/>
  <c r="AQ14"/>
  <c r="AU14"/>
  <c r="AX13"/>
  <c r="AY13"/>
  <c r="BA16"/>
  <c r="BB16"/>
  <c r="AZ17"/>
  <c r="BN14" i="1"/>
  <c r="BO14"/>
  <c r="BK15"/>
  <c r="BD13"/>
  <c r="BC13"/>
  <c r="AK21" l="1"/>
  <c r="AM21" s="1"/>
  <c r="AJ27"/>
  <c r="AL27" s="1"/>
  <c r="AK18"/>
  <c r="AM18" s="1"/>
  <c r="AJ36"/>
  <c r="AL36" s="1"/>
  <c r="AJ48"/>
  <c r="AL48" s="1"/>
  <c r="AP14"/>
  <c r="AJ38" s="1"/>
  <c r="AL38" s="1"/>
  <c r="AJ31"/>
  <c r="AL31" s="1"/>
  <c r="AK35"/>
  <c r="AM35" s="1"/>
  <c r="AK47"/>
  <c r="AM47" s="1"/>
  <c r="AJ29"/>
  <c r="AL29" s="1"/>
  <c r="AJ6"/>
  <c r="AL6" s="1"/>
  <c r="AP11"/>
  <c r="C4" i="9" s="1"/>
  <c r="I2" s="1"/>
  <c r="AO11" i="1"/>
  <c r="B4" i="9" s="1"/>
  <c r="F2" s="1"/>
  <c r="BP17" i="1"/>
  <c r="BQ16"/>
  <c r="BR16"/>
  <c r="BE15"/>
  <c r="BG14"/>
  <c r="BF14"/>
  <c r="BB17" i="8"/>
  <c r="AZ18"/>
  <c r="BA17"/>
  <c r="AP15"/>
  <c r="AQ15"/>
  <c r="AO16"/>
  <c r="AM14"/>
  <c r="AN14"/>
  <c r="AJ15"/>
  <c r="AX14"/>
  <c r="AY14"/>
  <c r="AU15"/>
  <c r="BK16" i="1"/>
  <c r="BN15"/>
  <c r="BO15"/>
  <c r="BD14"/>
  <c r="BC14"/>
  <c r="AK49" l="1"/>
  <c r="AM49" s="1"/>
  <c r="AJ19"/>
  <c r="AL19" s="1"/>
  <c r="AJ41"/>
  <c r="AL41" s="1"/>
  <c r="AK16"/>
  <c r="AM16" s="1"/>
  <c r="AK52"/>
  <c r="AM52" s="1"/>
  <c r="AK10"/>
  <c r="AM10" s="1"/>
  <c r="AJ45"/>
  <c r="AL45" s="1"/>
  <c r="AK46"/>
  <c r="AM46" s="1"/>
  <c r="AJ9"/>
  <c r="AL9" s="1"/>
  <c r="AK13"/>
  <c r="AM13" s="1"/>
  <c r="AK25"/>
  <c r="AM25" s="1"/>
  <c r="AK40"/>
  <c r="AM40" s="1"/>
  <c r="AK57"/>
  <c r="AM57" s="1"/>
  <c r="AJ8"/>
  <c r="AL8" s="1"/>
  <c r="AJ22"/>
  <c r="AL22" s="1"/>
  <c r="AJ34"/>
  <c r="AL34" s="1"/>
  <c r="AK24"/>
  <c r="AM24" s="1"/>
  <c r="AK55"/>
  <c r="AM55" s="1"/>
  <c r="AK11"/>
  <c r="AM11" s="1"/>
  <c r="AK39"/>
  <c r="AM39" s="1"/>
  <c r="AJ37"/>
  <c r="AL37" s="1"/>
  <c r="AK20"/>
  <c r="AM20" s="1"/>
  <c r="AK12"/>
  <c r="AM12" s="1"/>
  <c r="AK43"/>
  <c r="AM43" s="1"/>
  <c r="AK15"/>
  <c r="AM15" s="1"/>
  <c r="AK23"/>
  <c r="AM23" s="1"/>
  <c r="AK51"/>
  <c r="AM51" s="1"/>
  <c r="AJ14"/>
  <c r="AL14" s="1"/>
  <c r="C144" i="9"/>
  <c r="B114"/>
  <c r="C59"/>
  <c r="B29"/>
  <c r="B173"/>
  <c r="C130"/>
  <c r="B100"/>
  <c r="C33"/>
  <c r="C177"/>
  <c r="B147"/>
  <c r="C92"/>
  <c r="B62"/>
  <c r="C19"/>
  <c r="C163"/>
  <c r="B169"/>
  <c r="C126"/>
  <c r="B96"/>
  <c r="C85"/>
  <c r="C29"/>
  <c r="C173"/>
  <c r="B143"/>
  <c r="C76"/>
  <c r="B46"/>
  <c r="B10"/>
  <c r="B139"/>
  <c r="C123"/>
  <c r="B93"/>
  <c r="C50"/>
  <c r="B20"/>
  <c r="B164"/>
  <c r="C132"/>
  <c r="B102"/>
  <c r="C47"/>
  <c r="B17"/>
  <c r="B161"/>
  <c r="C118"/>
  <c r="B88"/>
  <c r="C21"/>
  <c r="C165"/>
  <c r="B135"/>
  <c r="C80"/>
  <c r="B50"/>
  <c r="B14"/>
  <c r="C151"/>
  <c r="B157"/>
  <c r="C114"/>
  <c r="B84"/>
  <c r="C61"/>
  <c r="C17"/>
  <c r="C161"/>
  <c r="B131"/>
  <c r="C64"/>
  <c r="B34"/>
  <c r="B178"/>
  <c r="B115"/>
  <c r="C111"/>
  <c r="B81"/>
  <c r="C38"/>
  <c r="C182"/>
  <c r="B152"/>
  <c r="C120"/>
  <c r="B90"/>
  <c r="C35"/>
  <c r="C179"/>
  <c r="B149"/>
  <c r="C106"/>
  <c r="B76"/>
  <c r="C9"/>
  <c r="C153"/>
  <c r="B123"/>
  <c r="C68"/>
  <c r="B38"/>
  <c r="B182"/>
  <c r="C139"/>
  <c r="B145"/>
  <c r="C102"/>
  <c r="B72"/>
  <c r="C37"/>
  <c r="B175"/>
  <c r="C149"/>
  <c r="B119"/>
  <c r="C52"/>
  <c r="B22"/>
  <c r="B166"/>
  <c r="B79"/>
  <c r="C99"/>
  <c r="B69"/>
  <c r="C26"/>
  <c r="C170"/>
  <c r="B140"/>
  <c r="C108"/>
  <c r="B78"/>
  <c r="C23"/>
  <c r="C167"/>
  <c r="B137"/>
  <c r="C94"/>
  <c r="B64"/>
  <c r="B97"/>
  <c r="C141"/>
  <c r="B111"/>
  <c r="C56"/>
  <c r="B26"/>
  <c r="B170"/>
  <c r="C127"/>
  <c r="B133"/>
  <c r="C90"/>
  <c r="B60"/>
  <c r="C13"/>
  <c r="B151"/>
  <c r="C137"/>
  <c r="B107"/>
  <c r="C40"/>
  <c r="C184"/>
  <c r="B154"/>
  <c r="B55"/>
  <c r="C87"/>
  <c r="B57"/>
  <c r="C14"/>
  <c r="C158"/>
  <c r="B128"/>
  <c r="C96"/>
  <c r="B66"/>
  <c r="C11"/>
  <c r="C155"/>
  <c r="B125"/>
  <c r="C82"/>
  <c r="B52"/>
  <c r="B8"/>
  <c r="C129"/>
  <c r="B99"/>
  <c r="C44"/>
  <c r="C188"/>
  <c r="B158"/>
  <c r="C115"/>
  <c r="B121"/>
  <c r="C78"/>
  <c r="B48"/>
  <c r="B12"/>
  <c r="B127"/>
  <c r="C125"/>
  <c r="B95"/>
  <c r="C28"/>
  <c r="C172"/>
  <c r="B142"/>
  <c r="B31"/>
  <c r="C75"/>
  <c r="B45"/>
  <c r="B9"/>
  <c r="C146"/>
  <c r="B116"/>
  <c r="C84"/>
  <c r="B54"/>
  <c r="B109"/>
  <c r="C143"/>
  <c r="B113"/>
  <c r="C70"/>
  <c r="B40"/>
  <c r="B184"/>
  <c r="C117"/>
  <c r="B87"/>
  <c r="C32"/>
  <c r="C176"/>
  <c r="B146"/>
  <c r="C103"/>
  <c r="B85"/>
  <c r="C66"/>
  <c r="B36"/>
  <c r="B180"/>
  <c r="B91"/>
  <c r="C113"/>
  <c r="B83"/>
  <c r="C16"/>
  <c r="C160"/>
  <c r="B130"/>
  <c r="C181"/>
  <c r="C63"/>
  <c r="B33"/>
  <c r="B177"/>
  <c r="C134"/>
  <c r="B104"/>
  <c r="C72"/>
  <c r="B42"/>
  <c r="B186"/>
  <c r="C131"/>
  <c r="B101"/>
  <c r="C58"/>
  <c r="B28"/>
  <c r="B172"/>
  <c r="C105"/>
  <c r="B75"/>
  <c r="C20"/>
  <c r="C164"/>
  <c r="B134"/>
  <c r="C91"/>
  <c r="B61"/>
  <c r="C54"/>
  <c r="B24"/>
  <c r="B168"/>
  <c r="B67"/>
  <c r="C101"/>
  <c r="B71"/>
  <c r="B103"/>
  <c r="C148"/>
  <c r="B118"/>
  <c r="C157"/>
  <c r="C51"/>
  <c r="B21"/>
  <c r="B165"/>
  <c r="C122"/>
  <c r="B92"/>
  <c r="C60"/>
  <c r="B30"/>
  <c r="B174"/>
  <c r="C119"/>
  <c r="B89"/>
  <c r="C46"/>
  <c r="B16"/>
  <c r="B160"/>
  <c r="C93"/>
  <c r="B63"/>
  <c r="B73"/>
  <c r="C152"/>
  <c r="B122"/>
  <c r="C79"/>
  <c r="B49"/>
  <c r="C42"/>
  <c r="C186"/>
  <c r="B156"/>
  <c r="B43"/>
  <c r="C89"/>
  <c r="B59"/>
  <c r="C97"/>
  <c r="C136"/>
  <c r="B106"/>
  <c r="C133"/>
  <c r="C39"/>
  <c r="C183"/>
  <c r="B153"/>
  <c r="C110"/>
  <c r="B80"/>
  <c r="C48"/>
  <c r="B18"/>
  <c r="B162"/>
  <c r="C107"/>
  <c r="B77"/>
  <c r="C34"/>
  <c r="C178"/>
  <c r="B148"/>
  <c r="C81"/>
  <c r="B51"/>
  <c r="B15"/>
  <c r="C140"/>
  <c r="B110"/>
  <c r="C67"/>
  <c r="B37"/>
  <c r="C30"/>
  <c r="C174"/>
  <c r="B144"/>
  <c r="B19"/>
  <c r="C77"/>
  <c r="B47"/>
  <c r="B11"/>
  <c r="C124"/>
  <c r="B94"/>
  <c r="C109"/>
  <c r="C27"/>
  <c r="C171"/>
  <c r="B141"/>
  <c r="C98"/>
  <c r="B68"/>
  <c r="C36"/>
  <c r="C180"/>
  <c r="B150"/>
  <c r="C95"/>
  <c r="B65"/>
  <c r="C22"/>
  <c r="C166"/>
  <c r="B136"/>
  <c r="C69"/>
  <c r="B39"/>
  <c r="B183"/>
  <c r="C128"/>
  <c r="B98"/>
  <c r="C55"/>
  <c r="B25"/>
  <c r="C18"/>
  <c r="C162"/>
  <c r="B132"/>
  <c r="C169"/>
  <c r="C65"/>
  <c r="B35"/>
  <c r="B179"/>
  <c r="C112"/>
  <c r="B82"/>
  <c r="C73"/>
  <c r="C15"/>
  <c r="C159"/>
  <c r="B129"/>
  <c r="C86"/>
  <c r="B56"/>
  <c r="C24"/>
  <c r="C168"/>
  <c r="B138"/>
  <c r="C83"/>
  <c r="B53"/>
  <c r="C10"/>
  <c r="C154"/>
  <c r="B124"/>
  <c r="C57"/>
  <c r="B27"/>
  <c r="B171"/>
  <c r="C116"/>
  <c r="B86"/>
  <c r="C43"/>
  <c r="C187"/>
  <c r="B13"/>
  <c r="C150"/>
  <c r="B120"/>
  <c r="C145"/>
  <c r="C53"/>
  <c r="B23"/>
  <c r="B167"/>
  <c r="C100"/>
  <c r="B70"/>
  <c r="C49"/>
  <c r="B187"/>
  <c r="C147"/>
  <c r="B117"/>
  <c r="C74"/>
  <c r="B44"/>
  <c r="B188"/>
  <c r="C12"/>
  <c r="C156"/>
  <c r="B126"/>
  <c r="C71"/>
  <c r="B41"/>
  <c r="B185"/>
  <c r="C142"/>
  <c r="B112"/>
  <c r="C45"/>
  <c r="C8"/>
  <c r="B159"/>
  <c r="C104"/>
  <c r="B74"/>
  <c r="C31"/>
  <c r="C175"/>
  <c r="B181"/>
  <c r="C138"/>
  <c r="B108"/>
  <c r="C121"/>
  <c r="C41"/>
  <c r="C185"/>
  <c r="B155"/>
  <c r="C88"/>
  <c r="B58"/>
  <c r="C25"/>
  <c r="B163"/>
  <c r="C135"/>
  <c r="B105"/>
  <c r="C62"/>
  <c r="B32"/>
  <c r="B176"/>
  <c r="AK42" i="1"/>
  <c r="AM42" s="1"/>
  <c r="AK33"/>
  <c r="AM33" s="1"/>
  <c r="AK58"/>
  <c r="AM58" s="1"/>
  <c r="AJ30"/>
  <c r="AL30" s="1"/>
  <c r="AK50"/>
  <c r="AM50" s="1"/>
  <c r="AK17"/>
  <c r="AM17" s="1"/>
  <c r="AK44"/>
  <c r="AM44" s="1"/>
  <c r="AJ28"/>
  <c r="AL28" s="1"/>
  <c r="AJ54"/>
  <c r="AL54" s="1"/>
  <c r="AJ32"/>
  <c r="AL32" s="1"/>
  <c r="AK53"/>
  <c r="AM53" s="1"/>
  <c r="AJ26"/>
  <c r="AL26" s="1"/>
  <c r="G72" i="9"/>
  <c r="G144"/>
  <c r="F30"/>
  <c r="F102"/>
  <c r="F174"/>
  <c r="G59"/>
  <c r="G131"/>
  <c r="F52"/>
  <c r="F89"/>
  <c r="F161"/>
  <c r="G46"/>
  <c r="G118"/>
  <c r="G10"/>
  <c r="F106"/>
  <c r="F178"/>
  <c r="G69"/>
  <c r="G141"/>
  <c r="F79"/>
  <c r="F27"/>
  <c r="F99"/>
  <c r="F171"/>
  <c r="G56"/>
  <c r="G128"/>
  <c r="F19"/>
  <c r="F169"/>
  <c r="F74"/>
  <c r="F146"/>
  <c r="G31"/>
  <c r="G103"/>
  <c r="G175"/>
  <c r="G169"/>
  <c r="G147"/>
  <c r="G66"/>
  <c r="G138"/>
  <c r="F24"/>
  <c r="F96"/>
  <c r="F168"/>
  <c r="G53"/>
  <c r="G125"/>
  <c r="G17"/>
  <c r="F83"/>
  <c r="F155"/>
  <c r="G40"/>
  <c r="G112"/>
  <c r="G184"/>
  <c r="F100"/>
  <c r="F172"/>
  <c r="G63"/>
  <c r="G135"/>
  <c r="F67"/>
  <c r="F21"/>
  <c r="F93"/>
  <c r="F165"/>
  <c r="G50"/>
  <c r="G122"/>
  <c r="G14"/>
  <c r="F157"/>
  <c r="F68"/>
  <c r="F140"/>
  <c r="G25"/>
  <c r="G97"/>
  <c r="F23"/>
  <c r="G62"/>
  <c r="G37"/>
  <c r="G60"/>
  <c r="G132"/>
  <c r="F64"/>
  <c r="F90"/>
  <c r="F162"/>
  <c r="G47"/>
  <c r="G119"/>
  <c r="G11"/>
  <c r="F77"/>
  <c r="F149"/>
  <c r="G34"/>
  <c r="G106"/>
  <c r="G178"/>
  <c r="F94"/>
  <c r="F166"/>
  <c r="G57"/>
  <c r="G129"/>
  <c r="F25"/>
  <c r="G8"/>
  <c r="F87"/>
  <c r="F159"/>
  <c r="G44"/>
  <c r="G116"/>
  <c r="G188"/>
  <c r="F145"/>
  <c r="F62"/>
  <c r="F134"/>
  <c r="G19"/>
  <c r="G91"/>
  <c r="G163"/>
  <c r="G52"/>
  <c r="F152"/>
  <c r="G54"/>
  <c r="G126"/>
  <c r="G18"/>
  <c r="F84"/>
  <c r="F156"/>
  <c r="G41"/>
  <c r="G113"/>
  <c r="G185"/>
  <c r="F71"/>
  <c r="F143"/>
  <c r="G28"/>
  <c r="G100"/>
  <c r="G172"/>
  <c r="F88"/>
  <c r="F160"/>
  <c r="G51"/>
  <c r="G123"/>
  <c r="G15"/>
  <c r="F187"/>
  <c r="F81"/>
  <c r="F153"/>
  <c r="G38"/>
  <c r="G110"/>
  <c r="G182"/>
  <c r="F133"/>
  <c r="F56"/>
  <c r="F128"/>
  <c r="F37"/>
  <c r="G85"/>
  <c r="G157"/>
  <c r="F167"/>
  <c r="G134"/>
  <c r="G181"/>
  <c r="G48"/>
  <c r="G120"/>
  <c r="G12"/>
  <c r="F78"/>
  <c r="F150"/>
  <c r="G35"/>
  <c r="G107"/>
  <c r="G179"/>
  <c r="F65"/>
  <c r="F137"/>
  <c r="G22"/>
  <c r="G94"/>
  <c r="G166"/>
  <c r="F82"/>
  <c r="F154"/>
  <c r="G45"/>
  <c r="G117"/>
  <c r="G9"/>
  <c r="F175"/>
  <c r="F75"/>
  <c r="F147"/>
  <c r="G32"/>
  <c r="G104"/>
  <c r="G176"/>
  <c r="F121"/>
  <c r="F50"/>
  <c r="F122"/>
  <c r="F14"/>
  <c r="G79"/>
  <c r="G151"/>
  <c r="F112"/>
  <c r="G42"/>
  <c r="G114"/>
  <c r="G186"/>
  <c r="F72"/>
  <c r="F144"/>
  <c r="G29"/>
  <c r="G101"/>
  <c r="G173"/>
  <c r="F59"/>
  <c r="F131"/>
  <c r="F46"/>
  <c r="G88"/>
  <c r="G160"/>
  <c r="F76"/>
  <c r="F148"/>
  <c r="G39"/>
  <c r="G111"/>
  <c r="G183"/>
  <c r="F163"/>
  <c r="F69"/>
  <c r="F141"/>
  <c r="G26"/>
  <c r="G98"/>
  <c r="G170"/>
  <c r="F109"/>
  <c r="F44"/>
  <c r="F116"/>
  <c r="F188"/>
  <c r="G73"/>
  <c r="G145"/>
  <c r="G124"/>
  <c r="G36"/>
  <c r="G108"/>
  <c r="G180"/>
  <c r="F66"/>
  <c r="F138"/>
  <c r="G23"/>
  <c r="G95"/>
  <c r="G167"/>
  <c r="F53"/>
  <c r="F125"/>
  <c r="F17"/>
  <c r="G82"/>
  <c r="G154"/>
  <c r="F70"/>
  <c r="F142"/>
  <c r="G33"/>
  <c r="G105"/>
  <c r="G177"/>
  <c r="F151"/>
  <c r="F63"/>
  <c r="F135"/>
  <c r="G20"/>
  <c r="G92"/>
  <c r="G164"/>
  <c r="F97"/>
  <c r="F38"/>
  <c r="F110"/>
  <c r="F182"/>
  <c r="G67"/>
  <c r="G139"/>
  <c r="F43"/>
  <c r="F184"/>
  <c r="G30"/>
  <c r="G102"/>
  <c r="G174"/>
  <c r="F60"/>
  <c r="F132"/>
  <c r="F28"/>
  <c r="G89"/>
  <c r="G161"/>
  <c r="F47"/>
  <c r="F119"/>
  <c r="F11"/>
  <c r="G76"/>
  <c r="G148"/>
  <c r="F58"/>
  <c r="F136"/>
  <c r="G27"/>
  <c r="G99"/>
  <c r="G171"/>
  <c r="F139"/>
  <c r="F57"/>
  <c r="F129"/>
  <c r="F31"/>
  <c r="G86"/>
  <c r="G158"/>
  <c r="F85"/>
  <c r="F32"/>
  <c r="F104"/>
  <c r="F176"/>
  <c r="G61"/>
  <c r="G133"/>
  <c r="G137"/>
  <c r="F177"/>
  <c r="G109"/>
  <c r="G24"/>
  <c r="G96"/>
  <c r="G168"/>
  <c r="F54"/>
  <c r="F126"/>
  <c r="F18"/>
  <c r="G83"/>
  <c r="G155"/>
  <c r="F41"/>
  <c r="F113"/>
  <c r="F185"/>
  <c r="G70"/>
  <c r="G142"/>
  <c r="F40"/>
  <c r="F130"/>
  <c r="G21"/>
  <c r="G93"/>
  <c r="G165"/>
  <c r="F127"/>
  <c r="F51"/>
  <c r="F123"/>
  <c r="F15"/>
  <c r="G80"/>
  <c r="G152"/>
  <c r="F73"/>
  <c r="F26"/>
  <c r="F98"/>
  <c r="F170"/>
  <c r="G55"/>
  <c r="G127"/>
  <c r="F8"/>
  <c r="G75"/>
  <c r="G90"/>
  <c r="G162"/>
  <c r="F48"/>
  <c r="F120"/>
  <c r="F12"/>
  <c r="G77"/>
  <c r="G149"/>
  <c r="F35"/>
  <c r="F107"/>
  <c r="F179"/>
  <c r="G64"/>
  <c r="G136"/>
  <c r="F34"/>
  <c r="F124"/>
  <c r="F16"/>
  <c r="G87"/>
  <c r="G159"/>
  <c r="F115"/>
  <c r="F45"/>
  <c r="F117"/>
  <c r="F9"/>
  <c r="G74"/>
  <c r="G146"/>
  <c r="F61"/>
  <c r="F20"/>
  <c r="F92"/>
  <c r="F164"/>
  <c r="G49"/>
  <c r="G121"/>
  <c r="G13"/>
  <c r="F95"/>
  <c r="F49"/>
  <c r="G84"/>
  <c r="G156"/>
  <c r="F42"/>
  <c r="F114"/>
  <c r="F186"/>
  <c r="G71"/>
  <c r="G143"/>
  <c r="F29"/>
  <c r="F101"/>
  <c r="F173"/>
  <c r="G58"/>
  <c r="G130"/>
  <c r="F22"/>
  <c r="F118"/>
  <c r="F10"/>
  <c r="G81"/>
  <c r="G153"/>
  <c r="F103"/>
  <c r="F39"/>
  <c r="F111"/>
  <c r="F183"/>
  <c r="G68"/>
  <c r="G140"/>
  <c r="F55"/>
  <c r="F13"/>
  <c r="F86"/>
  <c r="F158"/>
  <c r="G43"/>
  <c r="G115"/>
  <c r="G187"/>
  <c r="G78"/>
  <c r="G150"/>
  <c r="F36"/>
  <c r="F108"/>
  <c r="F180"/>
  <c r="G65"/>
  <c r="G16"/>
  <c r="F91"/>
  <c r="F33"/>
  <c r="F105"/>
  <c r="F181"/>
  <c r="F80"/>
  <c r="AJ7" i="1"/>
  <c r="AL7" s="1"/>
  <c r="AJ56"/>
  <c r="AL56" s="1"/>
  <c r="AJ59"/>
  <c r="AL59" s="1"/>
  <c r="BP18"/>
  <c r="BQ17"/>
  <c r="BR17"/>
  <c r="BE16"/>
  <c r="BG15"/>
  <c r="BF15"/>
  <c r="AU16" i="8"/>
  <c r="AX15"/>
  <c r="AY15"/>
  <c r="AO17"/>
  <c r="AQ16"/>
  <c r="AP16"/>
  <c r="AM15"/>
  <c r="AN15"/>
  <c r="AJ16"/>
  <c r="BB18"/>
  <c r="BA18"/>
  <c r="AZ19"/>
  <c r="AL6" a="1"/>
  <c r="BN16" i="1"/>
  <c r="BO16"/>
  <c r="BK17"/>
  <c r="AP16" l="1"/>
  <c r="AP18" s="1"/>
  <c r="AP15"/>
  <c r="AP17" s="1"/>
  <c r="BP19"/>
  <c r="BR18"/>
  <c r="BQ18"/>
  <c r="BE17"/>
  <c r="BF16"/>
  <c r="BG16"/>
  <c r="AX16" i="8"/>
  <c r="AY16"/>
  <c r="AU17"/>
  <c r="AM16"/>
  <c r="AN16"/>
  <c r="AK6" a="1"/>
  <c r="AL9"/>
  <c r="AL10"/>
  <c r="AL11"/>
  <c r="AL12"/>
  <c r="AL13"/>
  <c r="AL14"/>
  <c r="AL15"/>
  <c r="AL16"/>
  <c r="AL8"/>
  <c r="AL6"/>
  <c r="AL7"/>
  <c r="AP17"/>
  <c r="AQ17"/>
  <c r="AO18"/>
  <c r="AZ20"/>
  <c r="BA19"/>
  <c r="BB19"/>
  <c r="BN17" i="1"/>
  <c r="BO17"/>
  <c r="BM6" a="1"/>
  <c r="BL6" a="1"/>
  <c r="BP20" l="1"/>
  <c r="BR19"/>
  <c r="BQ19"/>
  <c r="BE18"/>
  <c r="BF17"/>
  <c r="BG17"/>
  <c r="AX17" i="8"/>
  <c r="AY17"/>
  <c r="AV6" a="1"/>
  <c r="AW6" a="1"/>
  <c r="AN2" a="1"/>
  <c r="AN2" s="1"/>
  <c r="AK9"/>
  <c r="AK10"/>
  <c r="AK11"/>
  <c r="AK12"/>
  <c r="AK13"/>
  <c r="AK14"/>
  <c r="AK15"/>
  <c r="AK16"/>
  <c r="AK6"/>
  <c r="AM2" s="1" a="1"/>
  <c r="AM2" s="1"/>
  <c r="BN8" s="1"/>
  <c r="AK8"/>
  <c r="AK7"/>
  <c r="AO19"/>
  <c r="AP18"/>
  <c r="AQ18"/>
  <c r="AZ21"/>
  <c r="BA20"/>
  <c r="BB20"/>
  <c r="BL8" i="1"/>
  <c r="BL11"/>
  <c r="BL9"/>
  <c r="BL10"/>
  <c r="BL13"/>
  <c r="BL17"/>
  <c r="BL14"/>
  <c r="BL6"/>
  <c r="BL15"/>
  <c r="BL16"/>
  <c r="BL7"/>
  <c r="BL12"/>
  <c r="BM7"/>
  <c r="BM10"/>
  <c r="BM11"/>
  <c r="BM8"/>
  <c r="BM9"/>
  <c r="BM12"/>
  <c r="BM16"/>
  <c r="BM13"/>
  <c r="BM17"/>
  <c r="BM14"/>
  <c r="BM15"/>
  <c r="BM6"/>
  <c r="BP21" l="1"/>
  <c r="BR20"/>
  <c r="BQ20"/>
  <c r="BE19"/>
  <c r="BF18"/>
  <c r="BG18"/>
  <c r="BN2" a="1"/>
  <c r="BN2" s="1"/>
  <c r="AO20" i="8"/>
  <c r="AP19"/>
  <c r="AQ19"/>
  <c r="AV15"/>
  <c r="AV16"/>
  <c r="AV14"/>
  <c r="AV17"/>
  <c r="AV6"/>
  <c r="AV7"/>
  <c r="AV8"/>
  <c r="AV9"/>
  <c r="AV10"/>
  <c r="AV11"/>
  <c r="AV12"/>
  <c r="AV13"/>
  <c r="AW14"/>
  <c r="AW15"/>
  <c r="AW16"/>
  <c r="AW17"/>
  <c r="AW6"/>
  <c r="AW7"/>
  <c r="AW8"/>
  <c r="AW9"/>
  <c r="AW10"/>
  <c r="AW11"/>
  <c r="AW13"/>
  <c r="AW12"/>
  <c r="AZ22"/>
  <c r="BA21"/>
  <c r="BB21"/>
  <c r="BO2" i="1" a="1"/>
  <c r="BO2" s="1"/>
  <c r="BD2" a="1"/>
  <c r="BD2" s="1"/>
  <c r="BC2" a="1"/>
  <c r="BC2" s="1"/>
  <c r="BP22" l="1"/>
  <c r="BR21"/>
  <c r="BQ21"/>
  <c r="BE20"/>
  <c r="BF19"/>
  <c r="BG19"/>
  <c r="AO21" i="8"/>
  <c r="AP20"/>
  <c r="AQ20"/>
  <c r="AZ23"/>
  <c r="BA22"/>
  <c r="BB22"/>
  <c r="AY2" a="1"/>
  <c r="AY2" s="1"/>
  <c r="AX2" a="1"/>
  <c r="AX2" s="1"/>
  <c r="BP23" i="1" l="1"/>
  <c r="BR22"/>
  <c r="BQ22"/>
  <c r="BE21"/>
  <c r="BF20"/>
  <c r="BG20"/>
  <c r="AZ24" i="8"/>
  <c r="BA23"/>
  <c r="BB23"/>
  <c r="AO22"/>
  <c r="AP21"/>
  <c r="AQ21"/>
  <c r="BE22" i="1" l="1"/>
  <c r="BG21"/>
  <c r="BF21"/>
  <c r="BP24"/>
  <c r="BR23"/>
  <c r="BQ23"/>
  <c r="AZ25" i="8"/>
  <c r="BA24"/>
  <c r="BB24"/>
  <c r="AQ22"/>
  <c r="AO23"/>
  <c r="AP22"/>
  <c r="BE23" i="1" l="1"/>
  <c r="BG22"/>
  <c r="BF22"/>
  <c r="BP25"/>
  <c r="BQ24"/>
  <c r="BR24"/>
  <c r="AZ26" i="8"/>
  <c r="BA25"/>
  <c r="BB25"/>
  <c r="AQ23"/>
  <c r="AP23"/>
  <c r="AO24"/>
  <c r="BE24" i="1" l="1"/>
  <c r="BG23"/>
  <c r="BF23"/>
  <c r="BP26"/>
  <c r="BQ25"/>
  <c r="BR25"/>
  <c r="AZ27" i="8"/>
  <c r="BA26"/>
  <c r="BB26"/>
  <c r="AO25"/>
  <c r="AP24"/>
  <c r="AQ24"/>
  <c r="BE25" i="1" l="1"/>
  <c r="BG24"/>
  <c r="BF24"/>
  <c r="BP27"/>
  <c r="BQ26"/>
  <c r="BR26"/>
  <c r="AZ28" i="8"/>
  <c r="BA27"/>
  <c r="BB27"/>
  <c r="AO26"/>
  <c r="AP25"/>
  <c r="AQ25"/>
  <c r="BE26" i="1" l="1"/>
  <c r="BG25"/>
  <c r="BF25"/>
  <c r="BP28"/>
  <c r="BQ27"/>
  <c r="BR27"/>
  <c r="AZ29" i="8"/>
  <c r="BA28"/>
  <c r="BB28"/>
  <c r="AO27"/>
  <c r="AP26"/>
  <c r="AQ26"/>
  <c r="BE27" i="1" l="1"/>
  <c r="BG26"/>
  <c r="BF26"/>
  <c r="BP29"/>
  <c r="BR28"/>
  <c r="BQ28"/>
  <c r="BB29" i="8"/>
  <c r="AZ30"/>
  <c r="BA29"/>
  <c r="AO28"/>
  <c r="AP27"/>
  <c r="AQ27"/>
  <c r="BE28" i="1" l="1"/>
  <c r="BG27"/>
  <c r="BF27"/>
  <c r="BP30"/>
  <c r="BR29"/>
  <c r="BQ29"/>
  <c r="BB30" i="8"/>
  <c r="AZ31"/>
  <c r="BA30"/>
  <c r="AO29"/>
  <c r="AP28"/>
  <c r="AQ28"/>
  <c r="BE29" i="1" l="1"/>
  <c r="BF28"/>
  <c r="BG28"/>
  <c r="BP31"/>
  <c r="BR30"/>
  <c r="BQ30"/>
  <c r="AZ32" i="8"/>
  <c r="BA31"/>
  <c r="BB31"/>
  <c r="AO30"/>
  <c r="AP29"/>
  <c r="AQ29"/>
  <c r="BE30" i="1" l="1"/>
  <c r="BF29"/>
  <c r="BG29"/>
  <c r="BP32"/>
  <c r="BR31"/>
  <c r="BQ31"/>
  <c r="AZ33" i="8"/>
  <c r="BA32"/>
  <c r="BB32"/>
  <c r="AO31"/>
  <c r="AP30"/>
  <c r="AQ30"/>
  <c r="BE31" i="1" l="1"/>
  <c r="BF30"/>
  <c r="BG30"/>
  <c r="BP33"/>
  <c r="BQ32"/>
  <c r="BR32"/>
  <c r="AZ34" i="8"/>
  <c r="BA33"/>
  <c r="BB33"/>
  <c r="AO32"/>
  <c r="AP31"/>
  <c r="AQ31"/>
  <c r="BE32" i="1" l="1"/>
  <c r="BF31"/>
  <c r="BG31"/>
  <c r="BP34"/>
  <c r="BR33"/>
  <c r="BQ33"/>
  <c r="AZ35" i="8"/>
  <c r="BA34"/>
  <c r="BB34"/>
  <c r="AO33"/>
  <c r="AP32"/>
  <c r="AQ32"/>
  <c r="BE33" i="1" l="1"/>
  <c r="BF32"/>
  <c r="BG32"/>
  <c r="BP35"/>
  <c r="BR34"/>
  <c r="BQ34"/>
  <c r="AZ36" i="8"/>
  <c r="BA35"/>
  <c r="BB35"/>
  <c r="AO34"/>
  <c r="AP33"/>
  <c r="AQ33"/>
  <c r="BE34" i="1" l="1"/>
  <c r="BG33"/>
  <c r="BF33"/>
  <c r="BP36"/>
  <c r="BR35"/>
  <c r="BQ35"/>
  <c r="AZ37" i="8"/>
  <c r="BA36"/>
  <c r="BB36"/>
  <c r="AQ34"/>
  <c r="AO35"/>
  <c r="AP34"/>
  <c r="BE35" i="1" l="1"/>
  <c r="BG34"/>
  <c r="BF34"/>
  <c r="BP37"/>
  <c r="BQ36"/>
  <c r="BR36"/>
  <c r="AQ35" i="8"/>
  <c r="AP35"/>
  <c r="AO36"/>
  <c r="AZ38"/>
  <c r="BA37"/>
  <c r="BB37"/>
  <c r="BE36" i="1" l="1"/>
  <c r="BG35"/>
  <c r="BF35"/>
  <c r="BP38"/>
  <c r="BQ37"/>
  <c r="BR37"/>
  <c r="AO37" i="8"/>
  <c r="AP36"/>
  <c r="AQ36"/>
  <c r="AZ39"/>
  <c r="BA38"/>
  <c r="BB38"/>
  <c r="BE37" i="1" l="1"/>
  <c r="BG36"/>
  <c r="BF36"/>
  <c r="BP39"/>
  <c r="BQ38"/>
  <c r="BR38"/>
  <c r="AO38" i="8"/>
  <c r="AP37"/>
  <c r="AQ37"/>
  <c r="AZ40"/>
  <c r="BA39"/>
  <c r="BB39"/>
  <c r="BE38" i="1" l="1"/>
  <c r="BG37"/>
  <c r="BF37"/>
  <c r="BP40"/>
  <c r="BQ39"/>
  <c r="BR39"/>
  <c r="AO39" i="8"/>
  <c r="AP38"/>
  <c r="AQ38"/>
  <c r="AZ41"/>
  <c r="BA40"/>
  <c r="BB40"/>
  <c r="BE39" i="1" l="1"/>
  <c r="BG38"/>
  <c r="BF38"/>
  <c r="BP41"/>
  <c r="BR40"/>
  <c r="BQ40"/>
  <c r="AO40" i="8"/>
  <c r="AP39"/>
  <c r="AQ39"/>
  <c r="BB41"/>
  <c r="AZ42"/>
  <c r="BA41"/>
  <c r="BP42" i="1" l="1"/>
  <c r="BR41"/>
  <c r="BQ41"/>
  <c r="BE40"/>
  <c r="BG39"/>
  <c r="BF39"/>
  <c r="AO41" i="8"/>
  <c r="AP40"/>
  <c r="AQ40"/>
  <c r="BB42"/>
  <c r="BA42"/>
  <c r="AZ43"/>
  <c r="BP43" i="1" l="1"/>
  <c r="BR42"/>
  <c r="BQ42"/>
  <c r="BE41"/>
  <c r="BF40"/>
  <c r="BG40"/>
  <c r="AO42" i="8"/>
  <c r="AP41"/>
  <c r="AQ41"/>
  <c r="AZ44"/>
  <c r="BA43"/>
  <c r="BB43"/>
  <c r="BE42" i="1" l="1"/>
  <c r="BF41"/>
  <c r="BG41"/>
  <c r="BP44"/>
  <c r="BR43"/>
  <c r="BQ43"/>
  <c r="AO43" i="8"/>
  <c r="AP42"/>
  <c r="AQ42"/>
  <c r="AZ45"/>
  <c r="BA44"/>
  <c r="BB44"/>
  <c r="BE43" i="1" l="1"/>
  <c r="BF42"/>
  <c r="BG42"/>
  <c r="BR44"/>
  <c r="BQ44"/>
  <c r="BP45"/>
  <c r="AO44" i="8"/>
  <c r="AP43"/>
  <c r="AQ43"/>
  <c r="AZ46"/>
  <c r="BA45"/>
  <c r="BB45"/>
  <c r="BE44" i="1" l="1"/>
  <c r="BF43"/>
  <c r="BG43"/>
  <c r="BP46"/>
  <c r="BR45"/>
  <c r="BQ45"/>
  <c r="AO45" i="8"/>
  <c r="AP44"/>
  <c r="AQ44"/>
  <c r="AZ47"/>
  <c r="BA46"/>
  <c r="BB46"/>
  <c r="BE45" i="1" l="1"/>
  <c r="BF44"/>
  <c r="BG44"/>
  <c r="BP47"/>
  <c r="BR46"/>
  <c r="BQ46"/>
  <c r="AO46" i="8"/>
  <c r="AP45"/>
  <c r="AQ45"/>
  <c r="AZ48"/>
  <c r="BA47"/>
  <c r="BB47"/>
  <c r="BE46" i="1" l="1"/>
  <c r="BG45"/>
  <c r="BF45"/>
  <c r="BP48"/>
  <c r="BR47"/>
  <c r="BQ47"/>
  <c r="AQ46" i="8"/>
  <c r="AO47"/>
  <c r="AP46"/>
  <c r="AZ49"/>
  <c r="BA48"/>
  <c r="BB48"/>
  <c r="BE47" i="1" l="1"/>
  <c r="BG46"/>
  <c r="BF46"/>
  <c r="BP49"/>
  <c r="BQ48"/>
  <c r="BR48"/>
  <c r="AZ50" i="8"/>
  <c r="BA49"/>
  <c r="BB49"/>
  <c r="AQ47"/>
  <c r="AO48"/>
  <c r="AP47"/>
  <c r="BE48" i="1" l="1"/>
  <c r="BG47"/>
  <c r="BF47"/>
  <c r="BP50"/>
  <c r="BQ49"/>
  <c r="BR49"/>
  <c r="AZ51" i="8"/>
  <c r="BA50"/>
  <c r="BB50"/>
  <c r="AO49"/>
  <c r="AP48"/>
  <c r="AQ48"/>
  <c r="BE49" i="1" l="1"/>
  <c r="BG48"/>
  <c r="BF48"/>
  <c r="BP51"/>
  <c r="BQ50"/>
  <c r="BR50"/>
  <c r="AZ52" i="8"/>
  <c r="BA51"/>
  <c r="BB51"/>
  <c r="AO50"/>
  <c r="AP49"/>
  <c r="AQ49"/>
  <c r="BE50" i="1" l="1"/>
  <c r="BG49"/>
  <c r="BF49"/>
  <c r="BP52"/>
  <c r="BQ51"/>
  <c r="BR51"/>
  <c r="AZ53" i="8"/>
  <c r="BA52"/>
  <c r="BB52"/>
  <c r="AO51"/>
  <c r="AP50"/>
  <c r="AQ50"/>
  <c r="BE51" i="1" l="1"/>
  <c r="BG50"/>
  <c r="BF50"/>
  <c r="BP53"/>
  <c r="BR52"/>
  <c r="BQ52"/>
  <c r="BB53" i="8"/>
  <c r="AZ54"/>
  <c r="BA53"/>
  <c r="AO52"/>
  <c r="AP51"/>
  <c r="AQ51"/>
  <c r="BE52" i="1" l="1"/>
  <c r="BG51"/>
  <c r="BF51"/>
  <c r="BP54"/>
  <c r="BR53"/>
  <c r="BQ53"/>
  <c r="BB54" i="8"/>
  <c r="AZ55"/>
  <c r="BA54"/>
  <c r="AO53"/>
  <c r="AP52"/>
  <c r="AQ52"/>
  <c r="BE53" i="1" l="1"/>
  <c r="BF52"/>
  <c r="BG52"/>
  <c r="BP55"/>
  <c r="BR54"/>
  <c r="BQ54"/>
  <c r="AO54" i="8"/>
  <c r="AP53"/>
  <c r="AQ53"/>
  <c r="AZ56"/>
  <c r="BA55"/>
  <c r="BB55"/>
  <c r="BE54" i="1" l="1"/>
  <c r="BF53"/>
  <c r="BG53"/>
  <c r="BP56"/>
  <c r="BR55"/>
  <c r="BQ55"/>
  <c r="AO55" i="8"/>
  <c r="AP54"/>
  <c r="AQ54"/>
  <c r="AZ57"/>
  <c r="BA56"/>
  <c r="BB56"/>
  <c r="BE55" i="1" l="1"/>
  <c r="BF54"/>
  <c r="BG54"/>
  <c r="BP57"/>
  <c r="BR56"/>
  <c r="BQ56"/>
  <c r="AO56" i="8"/>
  <c r="AP55"/>
  <c r="AQ55"/>
  <c r="AZ58"/>
  <c r="BA57"/>
  <c r="BB57"/>
  <c r="BE56" i="1" l="1"/>
  <c r="BF55"/>
  <c r="BG55"/>
  <c r="BP58"/>
  <c r="BR57"/>
  <c r="BQ57"/>
  <c r="AO57" i="8"/>
  <c r="AP56"/>
  <c r="AQ56"/>
  <c r="AZ59"/>
  <c r="BA58"/>
  <c r="BB58"/>
  <c r="BE57" i="1" l="1"/>
  <c r="BF56"/>
  <c r="BG56"/>
  <c r="BP59"/>
  <c r="BR58"/>
  <c r="BQ58"/>
  <c r="AO58" i="8"/>
  <c r="AP57"/>
  <c r="AQ57"/>
  <c r="BA59"/>
  <c r="BB59"/>
  <c r="AZ60"/>
  <c r="BE58" i="1" l="1"/>
  <c r="BG57"/>
  <c r="BF57"/>
  <c r="BP60"/>
  <c r="BR59"/>
  <c r="BQ59"/>
  <c r="AQ58" i="8"/>
  <c r="AO59"/>
  <c r="AP58"/>
  <c r="BB60"/>
  <c r="AZ61"/>
  <c r="BA60"/>
  <c r="BE59" i="1" l="1"/>
  <c r="BG58"/>
  <c r="BF58"/>
  <c r="BP61"/>
  <c r="BQ60"/>
  <c r="BR60"/>
  <c r="BA61" i="8"/>
  <c r="BB61"/>
  <c r="AZ62"/>
  <c r="AQ59"/>
  <c r="AP59"/>
  <c r="AO60"/>
  <c r="BE60" i="1" l="1"/>
  <c r="BG59"/>
  <c r="BF59"/>
  <c r="BQ61"/>
  <c r="BP62"/>
  <c r="BR61"/>
  <c r="AZ63" i="8"/>
  <c r="BB62"/>
  <c r="BA62"/>
  <c r="AO61"/>
  <c r="AP60"/>
  <c r="AQ60"/>
  <c r="BQ62" i="1" l="1"/>
  <c r="BP63"/>
  <c r="BR62"/>
  <c r="BE61"/>
  <c r="BG60"/>
  <c r="BF60"/>
  <c r="BA63" i="8"/>
  <c r="BB63"/>
  <c r="AZ64"/>
  <c r="AP61"/>
  <c r="AQ61"/>
  <c r="AO62"/>
  <c r="BP64" i="1" l="1"/>
  <c r="BQ63"/>
  <c r="BR63"/>
  <c r="BE62"/>
  <c r="BG61"/>
  <c r="BF61"/>
  <c r="AZ65" i="8"/>
  <c r="BB64"/>
  <c r="BA64"/>
  <c r="AO63"/>
  <c r="AP62"/>
  <c r="AQ62"/>
  <c r="BP65" i="1" l="1"/>
  <c r="BR64"/>
  <c r="BQ64"/>
  <c r="BE63"/>
  <c r="BG62"/>
  <c r="BF62"/>
  <c r="BA65" i="8"/>
  <c r="BB65"/>
  <c r="AZ66"/>
  <c r="AP63"/>
  <c r="AQ63"/>
  <c r="AO64"/>
  <c r="BP66" i="1" l="1"/>
  <c r="BR65"/>
  <c r="BQ65"/>
  <c r="BE64"/>
  <c r="BG63"/>
  <c r="BF63"/>
  <c r="AZ67" i="8"/>
  <c r="BB66"/>
  <c r="BA66"/>
  <c r="AO65"/>
  <c r="AP64"/>
  <c r="AQ64"/>
  <c r="BP67" i="1" l="1"/>
  <c r="BR66"/>
  <c r="BQ66"/>
  <c r="BE65"/>
  <c r="BF64"/>
  <c r="BG64"/>
  <c r="BA67" i="8"/>
  <c r="BB67"/>
  <c r="AZ68"/>
  <c r="AP65"/>
  <c r="AQ65"/>
  <c r="AO66"/>
  <c r="BE66" i="1" l="1"/>
  <c r="BF65"/>
  <c r="BG65"/>
  <c r="BP68"/>
  <c r="BR67"/>
  <c r="BQ67"/>
  <c r="AZ69" i="8"/>
  <c r="BB68"/>
  <c r="BA68"/>
  <c r="AO67"/>
  <c r="AP66"/>
  <c r="AQ66"/>
  <c r="BE67" i="1" l="1"/>
  <c r="BF66"/>
  <c r="BG66"/>
  <c r="BP69"/>
  <c r="BR68"/>
  <c r="BQ68"/>
  <c r="BA69" i="8"/>
  <c r="BB69"/>
  <c r="AZ70"/>
  <c r="AP67"/>
  <c r="AQ67"/>
  <c r="AO68"/>
  <c r="BE68" i="1" l="1"/>
  <c r="BF67"/>
  <c r="BG67"/>
  <c r="BP70"/>
  <c r="BR69"/>
  <c r="BQ69"/>
  <c r="AZ71" i="8"/>
  <c r="BA70"/>
  <c r="BB70"/>
  <c r="AO69"/>
  <c r="AP68"/>
  <c r="AQ68"/>
  <c r="BE69" i="1" l="1"/>
  <c r="BF68"/>
  <c r="BG68"/>
  <c r="BP71"/>
  <c r="BR70"/>
  <c r="BQ70"/>
  <c r="BA71" i="8"/>
  <c r="BB71"/>
  <c r="AZ72"/>
  <c r="AP69"/>
  <c r="AQ69"/>
  <c r="AO70"/>
  <c r="BE70" i="1" l="1"/>
  <c r="BG69"/>
  <c r="BF69"/>
  <c r="BP72"/>
  <c r="BR71"/>
  <c r="BQ71"/>
  <c r="AZ73" i="8"/>
  <c r="BB72"/>
  <c r="BA72"/>
  <c r="AO71"/>
  <c r="AP70"/>
  <c r="AQ70"/>
  <c r="BE71" i="1" l="1"/>
  <c r="BG70"/>
  <c r="BF70"/>
  <c r="BP73"/>
  <c r="BQ72"/>
  <c r="BR72"/>
  <c r="BA73" i="8"/>
  <c r="BB73"/>
  <c r="AZ74"/>
  <c r="AP71"/>
  <c r="AQ71"/>
  <c r="AO72"/>
  <c r="BE72" i="1" l="1"/>
  <c r="BG71"/>
  <c r="BF71"/>
  <c r="BP74"/>
  <c r="BQ73"/>
  <c r="BR73"/>
  <c r="AZ75" i="8"/>
  <c r="BB74"/>
  <c r="BA74"/>
  <c r="AO73"/>
  <c r="AP72"/>
  <c r="AQ72"/>
  <c r="BE73" i="1" l="1"/>
  <c r="BG72"/>
  <c r="BF72"/>
  <c r="BP75"/>
  <c r="BQ74"/>
  <c r="BR74"/>
  <c r="BA75" i="8"/>
  <c r="BB75"/>
  <c r="AZ76"/>
  <c r="AP73"/>
  <c r="AQ73"/>
  <c r="AO74"/>
  <c r="BE74" i="1" l="1"/>
  <c r="BG73"/>
  <c r="BF73"/>
  <c r="BP76"/>
  <c r="BQ75"/>
  <c r="BR75"/>
  <c r="BB76" i="8"/>
  <c r="BA76"/>
  <c r="AO75"/>
  <c r="AP74"/>
  <c r="AQ74"/>
  <c r="BE75" i="1" l="1"/>
  <c r="BG74"/>
  <c r="BF74"/>
  <c r="BR76"/>
  <c r="BQ76"/>
  <c r="AP75" i="8"/>
  <c r="AQ75"/>
  <c r="AO76"/>
  <c r="BG75" i="1" l="1"/>
  <c r="BE76"/>
  <c r="BF75"/>
  <c r="AO77" i="8"/>
  <c r="AP76"/>
  <c r="AQ76"/>
  <c r="BE77" i="1" l="1"/>
  <c r="BF76"/>
  <c r="BG76"/>
  <c r="AP77" i="8"/>
  <c r="AQ77"/>
  <c r="AO78"/>
  <c r="BE78" i="1" l="1"/>
  <c r="BF77"/>
  <c r="BG77"/>
  <c r="AP78" i="8"/>
  <c r="AQ78"/>
  <c r="AO79"/>
  <c r="BF78" i="1" l="1"/>
  <c r="BE79"/>
  <c r="BG78"/>
  <c r="AP79" i="8"/>
  <c r="AQ79"/>
  <c r="AO80"/>
  <c r="BF79" i="1" l="1"/>
  <c r="BE80"/>
  <c r="BG79"/>
  <c r="AO81" i="8"/>
  <c r="AQ80"/>
  <c r="AP80"/>
  <c r="BF80" i="1" l="1"/>
  <c r="BE81"/>
  <c r="BG80"/>
  <c r="AP81" i="8"/>
  <c r="AQ81"/>
  <c r="AO82"/>
  <c r="BE82" i="1" l="1"/>
  <c r="BG81"/>
  <c r="BF81"/>
  <c r="AP82" i="8"/>
  <c r="AQ82"/>
  <c r="AO83"/>
  <c r="BE83" i="1" l="1"/>
  <c r="BG82"/>
  <c r="BF82"/>
  <c r="AP83" i="8"/>
  <c r="AQ83"/>
  <c r="AO84"/>
  <c r="BE84" i="1" l="1"/>
  <c r="BG83"/>
  <c r="BF83"/>
  <c r="AQ84" i="8"/>
  <c r="AP84"/>
  <c r="BG84" i="1" l="1"/>
  <c r="BF84"/>
</calcChain>
</file>

<file path=xl/sharedStrings.xml><?xml version="1.0" encoding="utf-8"?>
<sst xmlns="http://schemas.openxmlformats.org/spreadsheetml/2006/main" count="744" uniqueCount="239">
  <si>
    <t>RING</t>
  </si>
  <si>
    <t>AGE</t>
  </si>
  <si>
    <t>SEX</t>
  </si>
  <si>
    <t>GC MOULT L</t>
  </si>
  <si>
    <t>GC MOULT R</t>
  </si>
  <si>
    <t>5L33945</t>
  </si>
  <si>
    <t>R</t>
  </si>
  <si>
    <t>G</t>
  </si>
  <si>
    <t>B</t>
  </si>
  <si>
    <t>R1</t>
  </si>
  <si>
    <t>G1</t>
  </si>
  <si>
    <t>B1</t>
  </si>
  <si>
    <t>R2</t>
  </si>
  <si>
    <t>G2</t>
  </si>
  <si>
    <t>B2</t>
  </si>
  <si>
    <t>R3</t>
  </si>
  <si>
    <t>B3</t>
  </si>
  <si>
    <t>F</t>
  </si>
  <si>
    <t>5L33949</t>
  </si>
  <si>
    <t>CONTROL</t>
  </si>
  <si>
    <t>RIGHT EYE</t>
  </si>
  <si>
    <t>LEFT EYE</t>
  </si>
  <si>
    <t>G3</t>
  </si>
  <si>
    <t>W 247,248,250</t>
  </si>
  <si>
    <t>G 223,222,222</t>
  </si>
  <si>
    <t>B 6,6,6</t>
  </si>
  <si>
    <t>M</t>
  </si>
  <si>
    <t xml:space="preserve">BROWN </t>
  </si>
  <si>
    <t>E104043</t>
  </si>
  <si>
    <t>E104056</t>
  </si>
  <si>
    <t>average R</t>
  </si>
  <si>
    <t>average B</t>
  </si>
  <si>
    <t>average G</t>
  </si>
  <si>
    <t>avrg - R1</t>
  </si>
  <si>
    <t>avrg-R2</t>
  </si>
  <si>
    <t>avrg-R3</t>
  </si>
  <si>
    <t>R1 meas</t>
  </si>
  <si>
    <t>R2 meas</t>
  </si>
  <si>
    <t>R3 meas</t>
  </si>
  <si>
    <t>abs</t>
  </si>
  <si>
    <t>avrg-G1</t>
  </si>
  <si>
    <t>avrg-G2</t>
  </si>
  <si>
    <t>avrg-G3</t>
  </si>
  <si>
    <t>G2 meas</t>
  </si>
  <si>
    <t>G3 meas</t>
  </si>
  <si>
    <t>G1 meas</t>
  </si>
  <si>
    <t>avrg-B1</t>
  </si>
  <si>
    <t>avrg-B2</t>
  </si>
  <si>
    <t>avrg-B3</t>
  </si>
  <si>
    <t>B1 meas</t>
  </si>
  <si>
    <t>B2 meas</t>
  </si>
  <si>
    <t>B3 meas</t>
  </si>
  <si>
    <t>1 meas</t>
  </si>
  <si>
    <t>2 meas</t>
  </si>
  <si>
    <t>3 meas</t>
  </si>
  <si>
    <t>METHOD 1 IS BEST!!</t>
  </si>
  <si>
    <t>excess R</t>
  </si>
  <si>
    <t>brightness</t>
  </si>
  <si>
    <t>5L33952</t>
  </si>
  <si>
    <t>5L33956</t>
  </si>
  <si>
    <t>5L33959</t>
  </si>
  <si>
    <t>5L33961</t>
  </si>
  <si>
    <t>5L33969</t>
  </si>
  <si>
    <t>5L33972</t>
  </si>
  <si>
    <t>5L33975</t>
  </si>
  <si>
    <t>5L33977</t>
  </si>
  <si>
    <t>5L33979</t>
  </si>
  <si>
    <t>5L33980</t>
  </si>
  <si>
    <t>5L33984</t>
  </si>
  <si>
    <t>5L33986</t>
  </si>
  <si>
    <t>5L33989</t>
  </si>
  <si>
    <t>5L33990</t>
  </si>
  <si>
    <t>5L33991</t>
  </si>
  <si>
    <t>5L33992</t>
  </si>
  <si>
    <t>5L33995</t>
  </si>
  <si>
    <t>5L33997</t>
  </si>
  <si>
    <t>E104036</t>
  </si>
  <si>
    <t>E104048</t>
  </si>
  <si>
    <t>E104051</t>
  </si>
  <si>
    <t>E104055</t>
  </si>
  <si>
    <t>DATE</t>
  </si>
  <si>
    <t>SPAIN</t>
  </si>
  <si>
    <t>COUNTRY</t>
  </si>
  <si>
    <t xml:space="preserve">green = 0.507red + 2.742 </t>
  </si>
  <si>
    <t xml:space="preserve">blue = green - 4 </t>
  </si>
  <si>
    <t>c</t>
  </si>
  <si>
    <t>g</t>
  </si>
  <si>
    <t>b</t>
  </si>
  <si>
    <t>bins</t>
  </si>
  <si>
    <t>FREQ 5</t>
  </si>
  <si>
    <t>FREQ 6</t>
  </si>
  <si>
    <t>bins rounded</t>
  </si>
  <si>
    <t>r</t>
  </si>
  <si>
    <t>Y</t>
  </si>
  <si>
    <t>SR</t>
  </si>
  <si>
    <t>SG</t>
  </si>
  <si>
    <t>SB</t>
  </si>
  <si>
    <t>SY</t>
  </si>
  <si>
    <t>LM</t>
  </si>
  <si>
    <t>MS</t>
  </si>
  <si>
    <t>LM 5</t>
  </si>
  <si>
    <t>LM 6</t>
  </si>
  <si>
    <t>chroma</t>
  </si>
  <si>
    <t>hue</t>
  </si>
  <si>
    <t>-</t>
  </si>
  <si>
    <t>5L55991</t>
  </si>
  <si>
    <t>E104081</t>
  </si>
  <si>
    <t>5L53945</t>
  </si>
  <si>
    <t>E104124</t>
  </si>
  <si>
    <t>R error</t>
  </si>
  <si>
    <t>G error</t>
  </si>
  <si>
    <t>B error</t>
  </si>
  <si>
    <t>avrg MS error</t>
  </si>
  <si>
    <t>avrg LM error</t>
  </si>
  <si>
    <t>chroma 5</t>
  </si>
  <si>
    <t>chroma 6</t>
  </si>
  <si>
    <t>5L33949 R1</t>
  </si>
  <si>
    <t>5L33949 R2</t>
  </si>
  <si>
    <t>5L33949 L1</t>
  </si>
  <si>
    <t>5L33949 L2</t>
  </si>
  <si>
    <t>hue err</t>
  </si>
  <si>
    <t>chroma err</t>
  </si>
  <si>
    <t>MS err</t>
  </si>
  <si>
    <t>LM err</t>
  </si>
  <si>
    <t>5 frequ</t>
  </si>
  <si>
    <t>6 frequ</t>
  </si>
  <si>
    <t>rss 5</t>
  </si>
  <si>
    <t>rss 6</t>
  </si>
  <si>
    <t>gauss fit 5</t>
  </si>
  <si>
    <t>gauss fit 6</t>
  </si>
  <si>
    <t>a6</t>
  </si>
  <si>
    <t>b6</t>
  </si>
  <si>
    <t>c6</t>
  </si>
  <si>
    <t>a5</t>
  </si>
  <si>
    <t>b5</t>
  </si>
  <si>
    <t>c5</t>
  </si>
  <si>
    <t>5 CHROMA</t>
  </si>
  <si>
    <t>6 CHROMA</t>
  </si>
  <si>
    <t>5 HUE</t>
  </si>
  <si>
    <t>6 HUE</t>
  </si>
  <si>
    <t>x better g</t>
  </si>
  <si>
    <t>y better g6</t>
  </si>
  <si>
    <t>y better g5</t>
  </si>
  <si>
    <t>E104084</t>
  </si>
  <si>
    <t>E104086</t>
  </si>
  <si>
    <t>E104088</t>
  </si>
  <si>
    <t>E104096</t>
  </si>
  <si>
    <t>E104098</t>
  </si>
  <si>
    <t>E104100</t>
  </si>
  <si>
    <t>E104104</t>
  </si>
  <si>
    <t>E104105</t>
  </si>
  <si>
    <t>E104106</t>
  </si>
  <si>
    <t>E104109</t>
  </si>
  <si>
    <t>E104110</t>
  </si>
  <si>
    <t>E104111</t>
  </si>
  <si>
    <t>E104113</t>
  </si>
  <si>
    <t>E104112</t>
  </si>
  <si>
    <t>E104114</t>
  </si>
  <si>
    <t>E104116</t>
  </si>
  <si>
    <t>E104117</t>
  </si>
  <si>
    <t>E104119</t>
  </si>
  <si>
    <t>E104120</t>
  </si>
  <si>
    <t>E104123</t>
  </si>
  <si>
    <t>E104125</t>
  </si>
  <si>
    <t>E104126</t>
  </si>
  <si>
    <t>E104127</t>
  </si>
  <si>
    <t>E104130</t>
  </si>
  <si>
    <t>E104131</t>
  </si>
  <si>
    <t>M HUE</t>
  </si>
  <si>
    <t>LM m</t>
  </si>
  <si>
    <t>LM f</t>
  </si>
  <si>
    <t>chroma m</t>
  </si>
  <si>
    <t>chroma f</t>
  </si>
  <si>
    <t>F HUE</t>
  </si>
  <si>
    <t>M CHROMA</t>
  </si>
  <si>
    <t>F CHROMA</t>
  </si>
  <si>
    <t>nº 5F</t>
  </si>
  <si>
    <t>nº 5M</t>
  </si>
  <si>
    <t>nº 6F</t>
  </si>
  <si>
    <t>nº 6M</t>
  </si>
  <si>
    <t>ttest hue</t>
  </si>
  <si>
    <t>ttest chroma</t>
  </si>
  <si>
    <t>6 H-CH centroid</t>
  </si>
  <si>
    <t>hue 5</t>
  </si>
  <si>
    <t>hue 6</t>
  </si>
  <si>
    <t>5 H-CH T centroid</t>
  </si>
  <si>
    <t>T hue 5</t>
  </si>
  <si>
    <t>T hue 6</t>
  </si>
  <si>
    <t>T chroma 5</t>
  </si>
  <si>
    <t>T chroma 6</t>
  </si>
  <si>
    <t>d from c 5</t>
  </si>
  <si>
    <t>d from c 6</t>
  </si>
  <si>
    <t>avrg dist</t>
  </si>
  <si>
    <t>radius</t>
  </si>
  <si>
    <t>xcentre</t>
  </si>
  <si>
    <t>ycentre</t>
  </si>
  <si>
    <t>H</t>
  </si>
  <si>
    <t>CH</t>
  </si>
  <si>
    <t>6-ERR</t>
  </si>
  <si>
    <t>6+ERR</t>
  </si>
  <si>
    <t>5+ERR</t>
  </si>
  <si>
    <t>5-ERR</t>
  </si>
  <si>
    <t>angle</t>
  </si>
  <si>
    <t>x</t>
  </si>
  <si>
    <t>y</t>
  </si>
  <si>
    <t>!!!</t>
  </si>
  <si>
    <t>once you have data for all months, set 0-1 scale to be max/min of all data</t>
  </si>
  <si>
    <t>midpoint</t>
  </si>
  <si>
    <t>m</t>
  </si>
  <si>
    <t>l test 5</t>
  </si>
  <si>
    <t>l test 6</t>
  </si>
  <si>
    <t>correct 5</t>
  </si>
  <si>
    <t>correct 6</t>
  </si>
  <si>
    <t>total 5</t>
  </si>
  <si>
    <t>total 6</t>
  </si>
  <si>
    <t>rlblty 5</t>
  </si>
  <si>
    <t>rlblty 6</t>
  </si>
  <si>
    <t>%</t>
  </si>
  <si>
    <t>bright 5</t>
  </si>
  <si>
    <t>bright 6</t>
  </si>
  <si>
    <t>E104898</t>
  </si>
  <si>
    <t>5L73501</t>
  </si>
  <si>
    <t>5L73502</t>
  </si>
  <si>
    <t>5L73508</t>
  </si>
  <si>
    <t>5L73506</t>
  </si>
  <si>
    <t>5L73512</t>
  </si>
  <si>
    <t>5L73515</t>
  </si>
  <si>
    <t>5L73519</t>
  </si>
  <si>
    <t>5L73521</t>
  </si>
  <si>
    <t>5L73525</t>
  </si>
  <si>
    <t>5L73533</t>
  </si>
  <si>
    <t>5L73536</t>
  </si>
  <si>
    <t>5L73539</t>
  </si>
  <si>
    <t>5L73542</t>
  </si>
  <si>
    <t>5L73552</t>
  </si>
  <si>
    <t>5L73553</t>
  </si>
  <si>
    <t>5L73558</t>
  </si>
  <si>
    <t>5L73560</t>
  </si>
  <si>
    <t>E104660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</si>
</sst>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8C727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0" fontId="0" fillId="0" borderId="1" xfId="0" applyBorder="1"/>
    <xf numFmtId="14" fontId="0" fillId="0" borderId="0" xfId="0" applyNumberFormat="1"/>
    <xf numFmtId="0" fontId="1" fillId="0" borderId="0" xfId="0" applyFont="1" applyAlignment="1">
      <alignment horizontal="center" readingOrder="1"/>
    </xf>
    <xf numFmtId="0" fontId="0" fillId="3" borderId="0" xfId="0" applyFill="1"/>
    <xf numFmtId="0" fontId="0" fillId="4" borderId="0" xfId="0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7" borderId="0" xfId="0" applyFill="1"/>
    <xf numFmtId="2" fontId="0" fillId="7" borderId="0" xfId="0" applyNumberFormat="1" applyFill="1"/>
    <xf numFmtId="2" fontId="2" fillId="5" borderId="0" xfId="0" applyNumberFormat="1" applyFont="1" applyFill="1" applyBorder="1"/>
    <xf numFmtId="2" fontId="2" fillId="6" borderId="0" xfId="0" applyNumberFormat="1" applyFont="1" applyFill="1" applyBorder="1"/>
    <xf numFmtId="0" fontId="2" fillId="8" borderId="0" xfId="0" applyFont="1" applyFill="1" applyBorder="1"/>
    <xf numFmtId="0" fontId="0" fillId="9" borderId="0" xfId="0" applyFill="1"/>
    <xf numFmtId="0" fontId="0" fillId="10" borderId="0" xfId="0" applyFill="1" applyBorder="1"/>
    <xf numFmtId="2" fontId="0" fillId="10" borderId="0" xfId="0" applyNumberFormat="1" applyFill="1" applyBorder="1"/>
    <xf numFmtId="2" fontId="0" fillId="4" borderId="0" xfId="0" applyNumberFormat="1" applyFill="1" applyBorder="1"/>
    <xf numFmtId="2" fontId="2" fillId="8" borderId="0" xfId="0" applyNumberFormat="1" applyFont="1" applyFill="1" applyBorder="1"/>
    <xf numFmtId="2" fontId="0" fillId="0" borderId="0" xfId="0" applyNumberFormat="1" applyFill="1"/>
    <xf numFmtId="2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 applyBorder="1"/>
    <xf numFmtId="0" fontId="0" fillId="0" borderId="0" xfId="0" applyBorder="1"/>
    <xf numFmtId="2" fontId="0" fillId="7" borderId="0" xfId="0" applyNumberFormat="1" applyFill="1" applyBorder="1"/>
    <xf numFmtId="0" fontId="0" fillId="0" borderId="0" xfId="0" applyFill="1" applyBorder="1"/>
    <xf numFmtId="3" fontId="0" fillId="0" borderId="0" xfId="0" applyNumberFormat="1" applyBorder="1"/>
    <xf numFmtId="0" fontId="0" fillId="11" borderId="2" xfId="0" applyFill="1" applyBorder="1"/>
    <xf numFmtId="0" fontId="0" fillId="0" borderId="2" xfId="0" applyBorder="1"/>
    <xf numFmtId="0" fontId="0" fillId="10" borderId="2" xfId="0" applyFill="1" applyBorder="1"/>
    <xf numFmtId="2" fontId="0" fillId="4" borderId="2" xfId="0" applyNumberFormat="1" applyFill="1" applyBorder="1"/>
    <xf numFmtId="2" fontId="2" fillId="5" borderId="2" xfId="0" applyNumberFormat="1" applyFont="1" applyFill="1" applyBorder="1"/>
    <xf numFmtId="2" fontId="2" fillId="6" borderId="2" xfId="0" applyNumberFormat="1" applyFont="1" applyFill="1" applyBorder="1"/>
    <xf numFmtId="2" fontId="0" fillId="7" borderId="2" xfId="0" applyNumberFormat="1" applyFill="1" applyBorder="1"/>
    <xf numFmtId="2" fontId="2" fillId="8" borderId="2" xfId="0" applyNumberFormat="1" applyFont="1" applyFill="1" applyBorder="1"/>
    <xf numFmtId="2" fontId="0" fillId="0" borderId="2" xfId="0" applyNumberFormat="1" applyBorder="1"/>
    <xf numFmtId="2" fontId="0" fillId="6" borderId="0" xfId="0" applyNumberFormat="1" applyFill="1"/>
    <xf numFmtId="2" fontId="0" fillId="6" borderId="0" xfId="0" applyNumberFormat="1" applyFill="1" applyBorder="1"/>
    <xf numFmtId="0" fontId="0" fillId="0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/>
    <xf numFmtId="0" fontId="0" fillId="0" borderId="0" xfId="0" applyNumberFormat="1" applyBorder="1"/>
    <xf numFmtId="2" fontId="2" fillId="0" borderId="0" xfId="0" applyNumberFormat="1" applyFont="1" applyFill="1" applyBorder="1"/>
    <xf numFmtId="2" fontId="2" fillId="7" borderId="0" xfId="0" applyNumberFormat="1" applyFont="1" applyFill="1" applyBorder="1"/>
    <xf numFmtId="0" fontId="0" fillId="12" borderId="0" xfId="0" applyNumberFormat="1" applyFill="1" applyBorder="1"/>
    <xf numFmtId="0" fontId="0" fillId="12" borderId="0" xfId="0" applyNumberFormat="1" applyFill="1"/>
    <xf numFmtId="2" fontId="2" fillId="13" borderId="0" xfId="0" applyNumberFormat="1" applyFont="1" applyFill="1" applyBorder="1"/>
    <xf numFmtId="2" fontId="0" fillId="13" borderId="0" xfId="0" applyNumberFormat="1" applyFill="1" applyBorder="1"/>
    <xf numFmtId="2" fontId="0" fillId="13" borderId="0" xfId="0" applyNumberFormat="1" applyFill="1"/>
    <xf numFmtId="0" fontId="0" fillId="13" borderId="0" xfId="0" applyFill="1"/>
    <xf numFmtId="0" fontId="0" fillId="0" borderId="0" xfId="0" applyNumberFormat="1"/>
    <xf numFmtId="2" fontId="0" fillId="8" borderId="0" xfId="0" applyNumberFormat="1" applyFill="1" applyBorder="1"/>
    <xf numFmtId="2" fontId="0" fillId="8" borderId="0" xfId="0" applyNumberFormat="1" applyFill="1"/>
    <xf numFmtId="2" fontId="0" fillId="13" borderId="2" xfId="0" applyNumberFormat="1" applyFill="1" applyBorder="1"/>
    <xf numFmtId="2" fontId="0" fillId="8" borderId="2" xfId="0" applyNumberFormat="1" applyFill="1" applyBorder="1"/>
    <xf numFmtId="2" fontId="0" fillId="9" borderId="0" xfId="0" applyNumberFormat="1" applyFill="1"/>
    <xf numFmtId="2" fontId="0" fillId="9" borderId="0" xfId="0" applyNumberFormat="1" applyFill="1" applyBorder="1"/>
    <xf numFmtId="164" fontId="0" fillId="10" borderId="0" xfId="0" applyNumberFormat="1" applyFill="1" applyBorder="1"/>
    <xf numFmtId="164" fontId="0" fillId="10" borderId="2" xfId="0" applyNumberFormat="1" applyFill="1" applyBorder="1"/>
    <xf numFmtId="164" fontId="0" fillId="4" borderId="0" xfId="0" applyNumberFormat="1" applyFill="1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C7272"/>
      <color rgb="FF261713"/>
      <color rgb="FF241511"/>
      <color rgb="FF231511"/>
      <color rgb="FF211410"/>
      <color rgb="FF1F130F"/>
      <color rgb="FF1E120E"/>
      <color rgb="FF1C110D"/>
      <color rgb="FF1B110D"/>
      <color rgb="FF19100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891"/>
          <c:y val="4.2963477059210033E-2"/>
          <c:w val="0.85880363419058414"/>
          <c:h val="0.82192711068755664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data!$Q$6:$Q$59</c:f>
              <c:numCache>
                <c:formatCode>0.00</c:formatCode>
                <c:ptCount val="54"/>
                <c:pt idx="0">
                  <c:v>0.37777777777777777</c:v>
                </c:pt>
                <c:pt idx="1">
                  <c:v>0.4088888888888888</c:v>
                </c:pt>
                <c:pt idx="2">
                  <c:v>0.35135135135135137</c:v>
                </c:pt>
                <c:pt idx="3">
                  <c:v>0.3492063492063493</c:v>
                </c:pt>
                <c:pt idx="4">
                  <c:v>0.37579617834394907</c:v>
                </c:pt>
                <c:pt idx="5">
                  <c:v>0.39791666666666659</c:v>
                </c:pt>
                <c:pt idx="6">
                  <c:v>0.43773584905660384</c:v>
                </c:pt>
                <c:pt idx="7">
                  <c:v>0.39492753623188415</c:v>
                </c:pt>
                <c:pt idx="8">
                  <c:v>0.34615384615384615</c:v>
                </c:pt>
                <c:pt idx="9">
                  <c:v>0.3603723404255319</c:v>
                </c:pt>
                <c:pt idx="10">
                  <c:v>0.32511210762331844</c:v>
                </c:pt>
                <c:pt idx="11">
                  <c:v>0.3886986301369863</c:v>
                </c:pt>
                <c:pt idx="12">
                  <c:v>0.38297872340425521</c:v>
                </c:pt>
                <c:pt idx="13">
                  <c:v>0.31794871794871793</c:v>
                </c:pt>
                <c:pt idx="14">
                  <c:v>0.38790035587188615</c:v>
                </c:pt>
                <c:pt idx="15">
                  <c:v>0.37939698492462304</c:v>
                </c:pt>
                <c:pt idx="16">
                  <c:v>0.33023255813953489</c:v>
                </c:pt>
                <c:pt idx="17">
                  <c:v>0.41582491582491571</c:v>
                </c:pt>
                <c:pt idx="18">
                  <c:v>0.40909090909090912</c:v>
                </c:pt>
                <c:pt idx="19">
                  <c:v>0.41921397379912656</c:v>
                </c:pt>
                <c:pt idx="20">
                  <c:v>0.17692307692307685</c:v>
                </c:pt>
                <c:pt idx="21">
                  <c:v>0.20786516853932591</c:v>
                </c:pt>
                <c:pt idx="22">
                  <c:v>0.32843137254901966</c:v>
                </c:pt>
                <c:pt idx="23">
                  <c:v>0.28989361702127658</c:v>
                </c:pt>
                <c:pt idx="24">
                  <c:v>0.30309734513274345</c:v>
                </c:pt>
                <c:pt idx="25">
                  <c:v>0.32908163265306128</c:v>
                </c:pt>
                <c:pt idx="26">
                  <c:v>0.34136546184738947</c:v>
                </c:pt>
                <c:pt idx="27">
                  <c:v>0.35622317596566522</c:v>
                </c:pt>
                <c:pt idx="28">
                  <c:v>0.33745583038869259</c:v>
                </c:pt>
                <c:pt idx="29">
                  <c:v>0.38796680497925307</c:v>
                </c:pt>
                <c:pt idx="30">
                  <c:v>0.38235294117647062</c:v>
                </c:pt>
                <c:pt idx="31">
                  <c:v>0.28205128205128205</c:v>
                </c:pt>
                <c:pt idx="32">
                  <c:v>0.33492822966507185</c:v>
                </c:pt>
                <c:pt idx="33">
                  <c:v>0.38976377952755897</c:v>
                </c:pt>
                <c:pt idx="34">
                  <c:v>0.45765472312703587</c:v>
                </c:pt>
                <c:pt idx="35">
                  <c:v>0.33463035019455267</c:v>
                </c:pt>
                <c:pt idx="36">
                  <c:v>0.45165394402035619</c:v>
                </c:pt>
                <c:pt idx="37">
                  <c:v>0.39028213166144204</c:v>
                </c:pt>
                <c:pt idx="38">
                  <c:v>0.37365591397849462</c:v>
                </c:pt>
                <c:pt idx="39">
                  <c:v>0.3549222797927461</c:v>
                </c:pt>
                <c:pt idx="40">
                  <c:v>0.42307692307692307</c:v>
                </c:pt>
                <c:pt idx="41">
                  <c:v>0.3303571428571429</c:v>
                </c:pt>
                <c:pt idx="42">
                  <c:v>0.34523809523809523</c:v>
                </c:pt>
                <c:pt idx="43">
                  <c:v>0.30102040816326525</c:v>
                </c:pt>
                <c:pt idx="44">
                  <c:v>0.3732057416267941</c:v>
                </c:pt>
                <c:pt idx="45">
                  <c:v>0.30253623188405798</c:v>
                </c:pt>
                <c:pt idx="46">
                  <c:v>0.33095238095238089</c:v>
                </c:pt>
                <c:pt idx="47">
                  <c:v>0.47081218274111675</c:v>
                </c:pt>
                <c:pt idx="48">
                  <c:v>0.23870967741935478</c:v>
                </c:pt>
                <c:pt idx="49">
                  <c:v>0.4442622950819673</c:v>
                </c:pt>
                <c:pt idx="50">
                  <c:v>0.32275132275132262</c:v>
                </c:pt>
                <c:pt idx="51">
                  <c:v>0.29999999999999993</c:v>
                </c:pt>
                <c:pt idx="52">
                  <c:v>0.39607843137254894</c:v>
                </c:pt>
                <c:pt idx="53">
                  <c:v>0.32407407407407424</c:v>
                </c:pt>
              </c:numCache>
            </c:numRef>
          </c:xVal>
          <c:yVal>
            <c:numRef>
              <c:f>data!$S$6:$S$59</c:f>
              <c:numCache>
                <c:formatCode>0.00</c:formatCode>
                <c:ptCount val="54"/>
                <c:pt idx="0">
                  <c:v>0.35555555555555551</c:v>
                </c:pt>
                <c:pt idx="1">
                  <c:v>0.40888888888888886</c:v>
                </c:pt>
                <c:pt idx="2">
                  <c:v>0.35135135135135132</c:v>
                </c:pt>
                <c:pt idx="3">
                  <c:v>0.32539682539682535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0.36923076923076925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0.33846153846153848</c:v>
                </c:pt>
                <c:pt idx="14">
                  <c:v>#N/A</c:v>
                </c:pt>
                <c:pt idx="15">
                  <c:v>#N/A</c:v>
                </c:pt>
                <c:pt idx="16">
                  <c:v>0.3534883720930232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0.28205128205128205</c:v>
                </c:pt>
                <c:pt idx="21">
                  <c:v>0.3033707865168539</c:v>
                </c:pt>
                <c:pt idx="22">
                  <c:v>0.37254901960784303</c:v>
                </c:pt>
                <c:pt idx="23">
                  <c:v>0.29255319148936165</c:v>
                </c:pt>
                <c:pt idx="24">
                  <c:v>0.31415929203539827</c:v>
                </c:pt>
                <c:pt idx="25">
                  <c:v>0.36224489795918369</c:v>
                </c:pt>
                <c:pt idx="26">
                  <c:v>0.32931726907630521</c:v>
                </c:pt>
                <c:pt idx="27">
                  <c:v>#N/A</c:v>
                </c:pt>
                <c:pt idx="28">
                  <c:v>0.40636042402826855</c:v>
                </c:pt>
                <c:pt idx="29">
                  <c:v>#N/A</c:v>
                </c:pt>
                <c:pt idx="30">
                  <c:v>0.39495798319327735</c:v>
                </c:pt>
                <c:pt idx="31">
                  <c:v>0.31623931623931623</c:v>
                </c:pt>
                <c:pt idx="32">
                  <c:v>0.35406698564593297</c:v>
                </c:pt>
                <c:pt idx="33">
                  <c:v>#N/A</c:v>
                </c:pt>
                <c:pt idx="34">
                  <c:v>#N/A</c:v>
                </c:pt>
                <c:pt idx="35">
                  <c:v>0.31906614785992216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0.37823834196891193</c:v>
                </c:pt>
                <c:pt idx="40">
                  <c:v>#N/A</c:v>
                </c:pt>
                <c:pt idx="41">
                  <c:v>#N/A</c:v>
                </c:pt>
                <c:pt idx="42">
                  <c:v>0.33333333333333326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0.37419354838709684</c:v>
                </c:pt>
                <c:pt idx="49">
                  <c:v>#N/A</c:v>
                </c:pt>
                <c:pt idx="50">
                  <c:v>0.37037037037037035</c:v>
                </c:pt>
                <c:pt idx="51">
                  <c:v>#N/A</c:v>
                </c:pt>
                <c:pt idx="52">
                  <c:v>#N/A</c:v>
                </c:pt>
                <c:pt idx="53">
                  <c:v>0.36111111111111116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data!$Q$6:$Q$59</c:f>
              <c:numCache>
                <c:formatCode>0.00</c:formatCode>
                <c:ptCount val="54"/>
                <c:pt idx="0">
                  <c:v>0.37777777777777777</c:v>
                </c:pt>
                <c:pt idx="1">
                  <c:v>0.4088888888888888</c:v>
                </c:pt>
                <c:pt idx="2">
                  <c:v>0.35135135135135137</c:v>
                </c:pt>
                <c:pt idx="3">
                  <c:v>0.3492063492063493</c:v>
                </c:pt>
                <c:pt idx="4">
                  <c:v>0.37579617834394907</c:v>
                </c:pt>
                <c:pt idx="5">
                  <c:v>0.39791666666666659</c:v>
                </c:pt>
                <c:pt idx="6">
                  <c:v>0.43773584905660384</c:v>
                </c:pt>
                <c:pt idx="7">
                  <c:v>0.39492753623188415</c:v>
                </c:pt>
                <c:pt idx="8">
                  <c:v>0.34615384615384615</c:v>
                </c:pt>
                <c:pt idx="9">
                  <c:v>0.3603723404255319</c:v>
                </c:pt>
                <c:pt idx="10">
                  <c:v>0.32511210762331844</c:v>
                </c:pt>
                <c:pt idx="11">
                  <c:v>0.3886986301369863</c:v>
                </c:pt>
                <c:pt idx="12">
                  <c:v>0.38297872340425521</c:v>
                </c:pt>
                <c:pt idx="13">
                  <c:v>0.31794871794871793</c:v>
                </c:pt>
                <c:pt idx="14">
                  <c:v>0.38790035587188615</c:v>
                </c:pt>
                <c:pt idx="15">
                  <c:v>0.37939698492462304</c:v>
                </c:pt>
                <c:pt idx="16">
                  <c:v>0.33023255813953489</c:v>
                </c:pt>
                <c:pt idx="17">
                  <c:v>0.41582491582491571</c:v>
                </c:pt>
                <c:pt idx="18">
                  <c:v>0.40909090909090912</c:v>
                </c:pt>
                <c:pt idx="19">
                  <c:v>0.41921397379912656</c:v>
                </c:pt>
                <c:pt idx="20">
                  <c:v>0.17692307692307685</c:v>
                </c:pt>
                <c:pt idx="21">
                  <c:v>0.20786516853932591</c:v>
                </c:pt>
                <c:pt idx="22">
                  <c:v>0.32843137254901966</c:v>
                </c:pt>
                <c:pt idx="23">
                  <c:v>0.28989361702127658</c:v>
                </c:pt>
                <c:pt idx="24">
                  <c:v>0.30309734513274345</c:v>
                </c:pt>
                <c:pt idx="25">
                  <c:v>0.32908163265306128</c:v>
                </c:pt>
                <c:pt idx="26">
                  <c:v>0.34136546184738947</c:v>
                </c:pt>
                <c:pt idx="27">
                  <c:v>0.35622317596566522</c:v>
                </c:pt>
                <c:pt idx="28">
                  <c:v>0.33745583038869259</c:v>
                </c:pt>
                <c:pt idx="29">
                  <c:v>0.38796680497925307</c:v>
                </c:pt>
                <c:pt idx="30">
                  <c:v>0.38235294117647062</c:v>
                </c:pt>
                <c:pt idx="31">
                  <c:v>0.28205128205128205</c:v>
                </c:pt>
                <c:pt idx="32">
                  <c:v>0.33492822966507185</c:v>
                </c:pt>
                <c:pt idx="33">
                  <c:v>0.38976377952755897</c:v>
                </c:pt>
                <c:pt idx="34">
                  <c:v>0.45765472312703587</c:v>
                </c:pt>
                <c:pt idx="35">
                  <c:v>0.33463035019455267</c:v>
                </c:pt>
                <c:pt idx="36">
                  <c:v>0.45165394402035619</c:v>
                </c:pt>
                <c:pt idx="37">
                  <c:v>0.39028213166144204</c:v>
                </c:pt>
                <c:pt idx="38">
                  <c:v>0.37365591397849462</c:v>
                </c:pt>
                <c:pt idx="39">
                  <c:v>0.3549222797927461</c:v>
                </c:pt>
                <c:pt idx="40">
                  <c:v>0.42307692307692307</c:v>
                </c:pt>
                <c:pt idx="41">
                  <c:v>0.3303571428571429</c:v>
                </c:pt>
                <c:pt idx="42">
                  <c:v>0.34523809523809523</c:v>
                </c:pt>
                <c:pt idx="43">
                  <c:v>0.30102040816326525</c:v>
                </c:pt>
                <c:pt idx="44">
                  <c:v>0.3732057416267941</c:v>
                </c:pt>
                <c:pt idx="45">
                  <c:v>0.30253623188405798</c:v>
                </c:pt>
                <c:pt idx="46">
                  <c:v>0.33095238095238089</c:v>
                </c:pt>
                <c:pt idx="47">
                  <c:v>0.47081218274111675</c:v>
                </c:pt>
                <c:pt idx="48">
                  <c:v>0.23870967741935478</c:v>
                </c:pt>
                <c:pt idx="49">
                  <c:v>0.4442622950819673</c:v>
                </c:pt>
                <c:pt idx="50">
                  <c:v>0.32275132275132262</c:v>
                </c:pt>
                <c:pt idx="51">
                  <c:v>0.29999999999999993</c:v>
                </c:pt>
                <c:pt idx="52">
                  <c:v>0.39607843137254894</c:v>
                </c:pt>
                <c:pt idx="53">
                  <c:v>0.32407407407407424</c:v>
                </c:pt>
              </c:numCache>
            </c:numRef>
          </c:xVal>
          <c:yVal>
            <c:numRef>
              <c:f>data!$T$6:$T$59</c:f>
              <c:numCache>
                <c:formatCode>0.00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0.40127388535031838</c:v>
                </c:pt>
                <c:pt idx="5">
                  <c:v>0.46250000000000002</c:v>
                </c:pt>
                <c:pt idx="6">
                  <c:v>0.48301886792452831</c:v>
                </c:pt>
                <c:pt idx="7">
                  <c:v>0.46376811594202894</c:v>
                </c:pt>
                <c:pt idx="8">
                  <c:v>#N/A</c:v>
                </c:pt>
                <c:pt idx="9">
                  <c:v>0.36436170212765961</c:v>
                </c:pt>
                <c:pt idx="10">
                  <c:v>0.31838565022421528</c:v>
                </c:pt>
                <c:pt idx="11">
                  <c:v>0.40753424657534243</c:v>
                </c:pt>
                <c:pt idx="12">
                  <c:v>0.30638297872340425</c:v>
                </c:pt>
                <c:pt idx="13">
                  <c:v>#N/A</c:v>
                </c:pt>
                <c:pt idx="14">
                  <c:v>0.39145907473309605</c:v>
                </c:pt>
                <c:pt idx="15">
                  <c:v>0.39698492462311552</c:v>
                </c:pt>
                <c:pt idx="16">
                  <c:v>#N/A</c:v>
                </c:pt>
                <c:pt idx="17">
                  <c:v>0.41414141414141414</c:v>
                </c:pt>
                <c:pt idx="18">
                  <c:v>0.42760942760942755</c:v>
                </c:pt>
                <c:pt idx="19">
                  <c:v>0.44541484716157209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0.37768240343347637</c:v>
                </c:pt>
                <c:pt idx="28">
                  <c:v>#N/A</c:v>
                </c:pt>
                <c:pt idx="29">
                  <c:v>0.48547717842323657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0.48818897637795278</c:v>
                </c:pt>
                <c:pt idx="34">
                  <c:v>0.45928338762214982</c:v>
                </c:pt>
                <c:pt idx="35">
                  <c:v>#N/A</c:v>
                </c:pt>
                <c:pt idx="36">
                  <c:v>0.43002544529262088</c:v>
                </c:pt>
                <c:pt idx="37">
                  <c:v>0.39184952978056431</c:v>
                </c:pt>
                <c:pt idx="38">
                  <c:v>0.41397849462365599</c:v>
                </c:pt>
                <c:pt idx="39">
                  <c:v>#N/A</c:v>
                </c:pt>
                <c:pt idx="40">
                  <c:v>0.44871794871794868</c:v>
                </c:pt>
                <c:pt idx="41">
                  <c:v>0.35119047619047616</c:v>
                </c:pt>
                <c:pt idx="42">
                  <c:v>#N/A</c:v>
                </c:pt>
                <c:pt idx="43">
                  <c:v>0.27551020408163274</c:v>
                </c:pt>
                <c:pt idx="44">
                  <c:v>0.39234449760765544</c:v>
                </c:pt>
                <c:pt idx="45">
                  <c:v>0.30797101449275366</c:v>
                </c:pt>
                <c:pt idx="46">
                  <c:v>0.31904761904761902</c:v>
                </c:pt>
                <c:pt idx="47">
                  <c:v>0.40862944162436543</c:v>
                </c:pt>
                <c:pt idx="48">
                  <c:v>#N/A</c:v>
                </c:pt>
                <c:pt idx="49">
                  <c:v>0.42295081967213111</c:v>
                </c:pt>
                <c:pt idx="50">
                  <c:v>#N/A</c:v>
                </c:pt>
                <c:pt idx="51">
                  <c:v>0.28181818181818175</c:v>
                </c:pt>
                <c:pt idx="52">
                  <c:v>0.47843137254901957</c:v>
                </c:pt>
                <c:pt idx="53">
                  <c:v>#N/A</c:v>
                </c:pt>
              </c:numCache>
            </c:numRef>
          </c:yVal>
        </c:ser>
        <c:axId val="118779904"/>
        <c:axId val="118782208"/>
      </c:scatterChart>
      <c:valAx>
        <c:axId val="118779904"/>
        <c:scaling>
          <c:orientation val="minMax"/>
          <c:max val="0.55000000000000004"/>
          <c:min val="0.1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MS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8782208"/>
        <c:crosses val="autoZero"/>
        <c:crossBetween val="midCat"/>
        <c:majorUnit val="0.1"/>
      </c:valAx>
      <c:valAx>
        <c:axId val="118782208"/>
        <c:scaling>
          <c:orientation val="minMax"/>
          <c:max val="0.55000000000000004"/>
          <c:min val="0.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LM</a:t>
                </a:r>
              </a:p>
            </c:rich>
          </c:tx>
          <c:layout>
            <c:manualLayout>
              <c:xMode val="edge"/>
              <c:yMode val="edge"/>
              <c:x val="2.8879227956190696E-2"/>
              <c:y val="0.44707743405943157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8779904"/>
        <c:crosses val="autoZero"/>
        <c:crossBetween val="midCat"/>
        <c:majorUnit val="0.1"/>
      </c:valAx>
      <c:spPr>
        <a:noFill/>
      </c:spPr>
    </c:plotArea>
    <c:legend>
      <c:legendPos val="r"/>
      <c:layout>
        <c:manualLayout>
          <c:xMode val="edge"/>
          <c:yMode val="edge"/>
          <c:x val="0.13165136503864339"/>
          <c:y val="0.15051034675749667"/>
          <c:w val="0.11619614126240339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897"/>
          <c:y val="4.2963477059210074E-2"/>
          <c:w val="0.8588036341905847"/>
          <c:h val="0.82192711068755664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data!$U$6:$U$78</c:f>
              <c:numCache>
                <c:formatCode>0.00</c:formatCode>
                <c:ptCount val="73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  <c:pt idx="54">
                  <c:v>42.81550580955723</c:v>
                </c:pt>
                <c:pt idx="55">
                  <c:v>40.655279345907182</c:v>
                </c:pt>
                <c:pt idx="56">
                  <c:v>42.188200128672882</c:v>
                </c:pt>
                <c:pt idx="57">
                  <c:v>42.003358974045859</c:v>
                </c:pt>
                <c:pt idx="58">
                  <c:v>31.745287422355208</c:v>
                </c:pt>
                <c:pt idx="59">
                  <c:v>38.538372294374668</c:v>
                </c:pt>
                <c:pt idx="60">
                  <c:v>38.534932213918125</c:v>
                </c:pt>
                <c:pt idx="61">
                  <c:v>43.531199285614171</c:v>
                </c:pt>
                <c:pt idx="62">
                  <c:v>43.826507551031732</c:v>
                </c:pt>
                <c:pt idx="63">
                  <c:v>36.326825952120231</c:v>
                </c:pt>
                <c:pt idx="64">
                  <c:v>47.400214460856638</c:v>
                </c:pt>
                <c:pt idx="65">
                  <c:v>41.987212495816664</c:v>
                </c:pt>
                <c:pt idx="66">
                  <c:v>40.486011541998742</c:v>
                </c:pt>
                <c:pt idx="67">
                  <c:v>41.745883858306208</c:v>
                </c:pt>
                <c:pt idx="68">
                  <c:v>43.363422958383282</c:v>
                </c:pt>
                <c:pt idx="69">
                  <c:v>39.058480206247246</c:v>
                </c:pt>
                <c:pt idx="70">
                  <c:v>42.692627003037792</c:v>
                </c:pt>
                <c:pt idx="71">
                  <c:v>44.252055810711411</c:v>
                </c:pt>
                <c:pt idx="72">
                  <c:v>42.147088689213639</c:v>
                </c:pt>
              </c:numCache>
            </c:numRef>
          </c:xVal>
          <c:yVal>
            <c:numRef>
              <c:f>data!$Y$6:$Y$78</c:f>
              <c:numCache>
                <c:formatCode>0.00</c:formatCode>
                <c:ptCount val="73"/>
                <c:pt idx="0">
                  <c:v>0.51878300133016675</c:v>
                </c:pt>
                <c:pt idx="1">
                  <c:v>0.57825621217033207</c:v>
                </c:pt>
                <c:pt idx="2">
                  <c:v>0.49688584623919557</c:v>
                </c:pt>
                <c:pt idx="3">
                  <c:v>0.47731349059539352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0.50611643537218409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0.46437872503268801</c:v>
                </c:pt>
                <c:pt idx="14">
                  <c:v>0</c:v>
                </c:pt>
                <c:pt idx="15">
                  <c:v>0</c:v>
                </c:pt>
                <c:pt idx="16">
                  <c:v>0.48374329107529429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0.33294849579882596</c:v>
                </c:pt>
                <c:pt idx="21">
                  <c:v>0.36775231121467739</c:v>
                </c:pt>
                <c:pt idx="22">
                  <c:v>0.49664870732258831</c:v>
                </c:pt>
                <c:pt idx="23">
                  <c:v>0.41185638157043247</c:v>
                </c:pt>
                <c:pt idx="24">
                  <c:v>0.43653643765291811</c:v>
                </c:pt>
                <c:pt idx="25">
                  <c:v>0.48940380775701348</c:v>
                </c:pt>
                <c:pt idx="26">
                  <c:v>0.47432082207526705</c:v>
                </c:pt>
                <c:pt idx="27">
                  <c:v>0</c:v>
                </c:pt>
                <c:pt idx="28">
                  <c:v>0.52820945815060549</c:v>
                </c:pt>
                <c:pt idx="29">
                  <c:v>0</c:v>
                </c:pt>
                <c:pt idx="30">
                  <c:v>0.54971408942685718</c:v>
                </c:pt>
                <c:pt idx="31">
                  <c:v>0.42374547884583041</c:v>
                </c:pt>
                <c:pt idx="32">
                  <c:v>0.48738111304294141</c:v>
                </c:pt>
                <c:pt idx="33">
                  <c:v>0</c:v>
                </c:pt>
                <c:pt idx="34">
                  <c:v>0</c:v>
                </c:pt>
                <c:pt idx="35">
                  <c:v>0.46236422653736814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0.51868494100819229</c:v>
                </c:pt>
                <c:pt idx="40">
                  <c:v>0</c:v>
                </c:pt>
                <c:pt idx="41">
                  <c:v>0</c:v>
                </c:pt>
                <c:pt idx="42">
                  <c:v>0.47989629454158028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0.44385033710495142</c:v>
                </c:pt>
                <c:pt idx="49">
                  <c:v>0</c:v>
                </c:pt>
                <c:pt idx="50">
                  <c:v>0.491266350960468</c:v>
                </c:pt>
                <c:pt idx="51">
                  <c:v>0</c:v>
                </c:pt>
                <c:pt idx="52">
                  <c:v>0</c:v>
                </c:pt>
                <c:pt idx="53">
                  <c:v>0.48520638913236686</c:v>
                </c:pt>
                <c:pt idx="54">
                  <c:v>0.55434921049837871</c:v>
                </c:pt>
                <c:pt idx="55">
                  <c:v>0.53076860985088115</c:v>
                </c:pt>
                <c:pt idx="56">
                  <c:v>0</c:v>
                </c:pt>
                <c:pt idx="57">
                  <c:v>0.55498777121339038</c:v>
                </c:pt>
                <c:pt idx="58">
                  <c:v>0.37640381637611975</c:v>
                </c:pt>
                <c:pt idx="59">
                  <c:v>0</c:v>
                </c:pt>
                <c:pt idx="60">
                  <c:v>0</c:v>
                </c:pt>
                <c:pt idx="61">
                  <c:v>0.54357100390674762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0.4866204442558576</c:v>
                </c:pt>
                <c:pt idx="66">
                  <c:v>0</c:v>
                </c:pt>
                <c:pt idx="67">
                  <c:v>0</c:v>
                </c:pt>
                <c:pt idx="68">
                  <c:v>0.50413921098759973</c:v>
                </c:pt>
                <c:pt idx="69">
                  <c:v>0</c:v>
                </c:pt>
                <c:pt idx="70">
                  <c:v>0.51934621199896924</c:v>
                </c:pt>
                <c:pt idx="71">
                  <c:v>0.50156476686815998</c:v>
                </c:pt>
                <c:pt idx="72">
                  <c:v>0.4910213395269068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data!$U$6:$U$78</c:f>
              <c:numCache>
                <c:formatCode>0.00</c:formatCode>
                <c:ptCount val="73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  <c:pt idx="54">
                  <c:v>42.81550580955723</c:v>
                </c:pt>
                <c:pt idx="55">
                  <c:v>40.655279345907182</c:v>
                </c:pt>
                <c:pt idx="56">
                  <c:v>42.188200128672882</c:v>
                </c:pt>
                <c:pt idx="57">
                  <c:v>42.003358974045859</c:v>
                </c:pt>
                <c:pt idx="58">
                  <c:v>31.745287422355208</c:v>
                </c:pt>
                <c:pt idx="59">
                  <c:v>38.538372294374668</c:v>
                </c:pt>
                <c:pt idx="60">
                  <c:v>38.534932213918125</c:v>
                </c:pt>
                <c:pt idx="61">
                  <c:v>43.531199285614171</c:v>
                </c:pt>
                <c:pt idx="62">
                  <c:v>43.826507551031732</c:v>
                </c:pt>
                <c:pt idx="63">
                  <c:v>36.326825952120231</c:v>
                </c:pt>
                <c:pt idx="64">
                  <c:v>47.400214460856638</c:v>
                </c:pt>
                <c:pt idx="65">
                  <c:v>41.987212495816664</c:v>
                </c:pt>
                <c:pt idx="66">
                  <c:v>40.486011541998742</c:v>
                </c:pt>
                <c:pt idx="67">
                  <c:v>41.745883858306208</c:v>
                </c:pt>
                <c:pt idx="68">
                  <c:v>43.363422958383282</c:v>
                </c:pt>
                <c:pt idx="69">
                  <c:v>39.058480206247246</c:v>
                </c:pt>
                <c:pt idx="70">
                  <c:v>42.692627003037792</c:v>
                </c:pt>
                <c:pt idx="71">
                  <c:v>44.252055810711411</c:v>
                </c:pt>
                <c:pt idx="72">
                  <c:v>42.147088689213639</c:v>
                </c:pt>
              </c:numCache>
            </c:numRef>
          </c:xVal>
          <c:yVal>
            <c:numRef>
              <c:f>data!$Z$6:$Z$72</c:f>
              <c:numCache>
                <c:formatCode>0.00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0.54976676756790022</c:v>
                </c:pt>
                <c:pt idx="5">
                  <c:v>0.61011795876790176</c:v>
                </c:pt>
                <c:pt idx="6">
                  <c:v>0.65185880397552254</c:v>
                </c:pt>
                <c:pt idx="7">
                  <c:v>0.60913760698105424</c:v>
                </c:pt>
                <c:pt idx="8">
                  <c:v>0</c:v>
                </c:pt>
                <c:pt idx="9">
                  <c:v>0.51247211994521302</c:v>
                </c:pt>
                <c:pt idx="10">
                  <c:v>0.45504648640767742</c:v>
                </c:pt>
                <c:pt idx="11">
                  <c:v>0.5631791785942567</c:v>
                </c:pt>
                <c:pt idx="12">
                  <c:v>0.49045206925017554</c:v>
                </c:pt>
                <c:pt idx="13">
                  <c:v>0</c:v>
                </c:pt>
                <c:pt idx="14">
                  <c:v>0.55109608352484929</c:v>
                </c:pt>
                <c:pt idx="15">
                  <c:v>0.54912576205083963</c:v>
                </c:pt>
                <c:pt idx="16">
                  <c:v>0</c:v>
                </c:pt>
                <c:pt idx="17">
                  <c:v>0.58687602739236888</c:v>
                </c:pt>
                <c:pt idx="18">
                  <c:v>0.59178137388843921</c:v>
                </c:pt>
                <c:pt idx="19">
                  <c:v>0.61166554741984724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0.51917140614478419</c:v>
                </c:pt>
                <c:pt idx="28">
                  <c:v>0</c:v>
                </c:pt>
                <c:pt idx="29">
                  <c:v>0.62145501247925972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0.62469535014161981</c:v>
                </c:pt>
                <c:pt idx="34">
                  <c:v>0.64837417880893577</c:v>
                </c:pt>
                <c:pt idx="35">
                  <c:v>0</c:v>
                </c:pt>
                <c:pt idx="36">
                  <c:v>0.62362903135458658</c:v>
                </c:pt>
                <c:pt idx="37">
                  <c:v>0.55305171212414539</c:v>
                </c:pt>
                <c:pt idx="38">
                  <c:v>0.55767099266679865</c:v>
                </c:pt>
                <c:pt idx="39">
                  <c:v>0</c:v>
                </c:pt>
                <c:pt idx="40">
                  <c:v>0.61671863952849704</c:v>
                </c:pt>
                <c:pt idx="41">
                  <c:v>0.48215204282842988</c:v>
                </c:pt>
                <c:pt idx="42">
                  <c:v>0</c:v>
                </c:pt>
                <c:pt idx="43">
                  <c:v>0.40806759082764921</c:v>
                </c:pt>
                <c:pt idx="44">
                  <c:v>0.54149490337971684</c:v>
                </c:pt>
                <c:pt idx="45">
                  <c:v>0.43171091875270007</c:v>
                </c:pt>
                <c:pt idx="46">
                  <c:v>0.45969648865094076</c:v>
                </c:pt>
                <c:pt idx="47">
                  <c:v>0.62341168739420938</c:v>
                </c:pt>
                <c:pt idx="48">
                  <c:v>0</c:v>
                </c:pt>
                <c:pt idx="49">
                  <c:v>0.61339741007997794</c:v>
                </c:pt>
                <c:pt idx="50">
                  <c:v>0</c:v>
                </c:pt>
                <c:pt idx="51">
                  <c:v>0.41160841536988246</c:v>
                </c:pt>
                <c:pt idx="52">
                  <c:v>0.62110764126492413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0.52344902660889048</c:v>
                </c:pt>
                <c:pt idx="57">
                  <c:v>0</c:v>
                </c:pt>
                <c:pt idx="58">
                  <c:v>0</c:v>
                </c:pt>
                <c:pt idx="59">
                  <c:v>0.62930407198950222</c:v>
                </c:pt>
                <c:pt idx="60">
                  <c:v>0.65538929002236235</c:v>
                </c:pt>
                <c:pt idx="61">
                  <c:v>0</c:v>
                </c:pt>
                <c:pt idx="62">
                  <c:v>0.61060449818736673</c:v>
                </c:pt>
                <c:pt idx="63">
                  <c:v>0.58343634597260441</c:v>
                </c:pt>
                <c:pt idx="64">
                  <c:v>0.50508771006349429</c:v>
                </c:pt>
                <c:pt idx="65">
                  <c:v>0</c:v>
                </c:pt>
                <c:pt idx="66">
                  <c:v>0.47495443072928833</c:v>
                </c:pt>
              </c:numCache>
            </c:numRef>
          </c:yVal>
        </c:ser>
        <c:axId val="118807168"/>
        <c:axId val="118698752"/>
      </c:scatterChart>
      <c:valAx>
        <c:axId val="118807168"/>
        <c:scaling>
          <c:orientation val="minMax"/>
          <c:min val="25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HUE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8698752"/>
        <c:crosses val="autoZero"/>
        <c:crossBetween val="midCat"/>
      </c:valAx>
      <c:valAx>
        <c:axId val="118698752"/>
        <c:scaling>
          <c:orientation val="minMax"/>
          <c:min val="0.25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CHROMA</a:t>
                </a:r>
              </a:p>
            </c:rich>
          </c:tx>
          <c:layout>
            <c:manualLayout>
              <c:xMode val="edge"/>
              <c:yMode val="edge"/>
              <c:x val="3.0154694125174342E-2"/>
              <c:y val="0.34456031493950406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8807168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3165136503864333"/>
          <c:y val="0.15051034675749686"/>
          <c:w val="0.11619614126240345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7.6609908716773895E-2"/>
          <c:y val="2.5143713902118871E-2"/>
          <c:w val="0.8581120213286153"/>
          <c:h val="0.85050045088637471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22225">
                <a:solidFill>
                  <a:sysClr val="windowText" lastClr="000000"/>
                </a:solidFill>
              </a:ln>
            </c:spPr>
          </c:marker>
          <c:xVal>
            <c:numRef>
              <c:f>data!$AZ$6:$AZ$46</c:f>
              <c:numCache>
                <c:formatCode>0.00</c:formatCode>
                <c:ptCount val="41"/>
                <c:pt idx="0">
                  <c:v>30</c:v>
                </c:pt>
                <c:pt idx="1">
                  <c:v>32.5</c:v>
                </c:pt>
                <c:pt idx="2">
                  <c:v>35</c:v>
                </c:pt>
                <c:pt idx="3">
                  <c:v>37.5</c:v>
                </c:pt>
                <c:pt idx="4">
                  <c:v>40</c:v>
                </c:pt>
                <c:pt idx="5">
                  <c:v>42.5</c:v>
                </c:pt>
                <c:pt idx="6">
                  <c:v>45</c:v>
                </c:pt>
                <c:pt idx="7">
                  <c:v>47.5</c:v>
                </c:pt>
                <c:pt idx="8">
                  <c:v>50</c:v>
                </c:pt>
                <c:pt idx="9">
                  <c:v>52.5</c:v>
                </c:pt>
                <c:pt idx="10">
                  <c:v>55</c:v>
                </c:pt>
              </c:numCache>
            </c:numRef>
          </c:xVal>
          <c:yVal>
            <c:numRef>
              <c:f>data!$BA$6:$BA$56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>
              <a:noFill/>
            </a:ln>
          </c:spPr>
          <c:xVal>
            <c:numRef>
              <c:f>data!$AZ$6:$AZ$38</c:f>
              <c:numCache>
                <c:formatCode>0.00</c:formatCode>
                <c:ptCount val="33"/>
                <c:pt idx="0">
                  <c:v>30</c:v>
                </c:pt>
                <c:pt idx="1">
                  <c:v>32.5</c:v>
                </c:pt>
                <c:pt idx="2">
                  <c:v>35</c:v>
                </c:pt>
                <c:pt idx="3">
                  <c:v>37.5</c:v>
                </c:pt>
                <c:pt idx="4">
                  <c:v>40</c:v>
                </c:pt>
                <c:pt idx="5">
                  <c:v>42.5</c:v>
                </c:pt>
                <c:pt idx="6">
                  <c:v>45</c:v>
                </c:pt>
                <c:pt idx="7">
                  <c:v>47.5</c:v>
                </c:pt>
                <c:pt idx="8">
                  <c:v>50</c:v>
                </c:pt>
                <c:pt idx="9">
                  <c:v>52.5</c:v>
                </c:pt>
                <c:pt idx="10">
                  <c:v>55</c:v>
                </c:pt>
              </c:numCache>
            </c:numRef>
          </c:xVal>
          <c:yVal>
            <c:numRef>
              <c:f>data!$BB$6:$BB$38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11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4">
                  <c:v>0</c:v>
                </c:pt>
                <c:pt idx="15">
                  <c:v>0.10817123166014042</c:v>
                </c:pt>
              </c:numCache>
            </c:numRef>
          </c:yVal>
        </c:ser>
        <c:ser>
          <c:idx val="2"/>
          <c:order val="2"/>
          <c:tx>
            <c:v>GAUSSIAN FIT EURING 5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data!$BE$6:$BE$84</c:f>
              <c:numCache>
                <c:formatCode>0.00</c:formatCode>
                <c:ptCount val="79"/>
                <c:pt idx="0">
                  <c:v>25</c:v>
                </c:pt>
                <c:pt idx="1">
                  <c:v>25.4</c:v>
                </c:pt>
                <c:pt idx="2">
                  <c:v>25.799999999999997</c:v>
                </c:pt>
                <c:pt idx="3">
                  <c:v>26.199999999999996</c:v>
                </c:pt>
                <c:pt idx="4">
                  <c:v>26.599999999999994</c:v>
                </c:pt>
                <c:pt idx="5">
                  <c:v>26.999999999999993</c:v>
                </c:pt>
                <c:pt idx="6">
                  <c:v>27.399999999999991</c:v>
                </c:pt>
                <c:pt idx="7">
                  <c:v>27.79999999999999</c:v>
                </c:pt>
                <c:pt idx="8">
                  <c:v>28.199999999999989</c:v>
                </c:pt>
                <c:pt idx="9">
                  <c:v>28.599999999999987</c:v>
                </c:pt>
                <c:pt idx="10">
                  <c:v>28.999999999999986</c:v>
                </c:pt>
                <c:pt idx="11">
                  <c:v>29.399999999999984</c:v>
                </c:pt>
                <c:pt idx="12">
                  <c:v>29.799999999999983</c:v>
                </c:pt>
                <c:pt idx="13">
                  <c:v>30.199999999999982</c:v>
                </c:pt>
                <c:pt idx="14">
                  <c:v>30.59999999999998</c:v>
                </c:pt>
                <c:pt idx="15">
                  <c:v>30.999999999999979</c:v>
                </c:pt>
                <c:pt idx="16">
                  <c:v>31.399999999999977</c:v>
                </c:pt>
                <c:pt idx="17">
                  <c:v>31.799999999999976</c:v>
                </c:pt>
                <c:pt idx="18">
                  <c:v>32.199999999999974</c:v>
                </c:pt>
                <c:pt idx="19">
                  <c:v>32.599999999999973</c:v>
                </c:pt>
                <c:pt idx="20">
                  <c:v>32.999999999999972</c:v>
                </c:pt>
                <c:pt idx="21">
                  <c:v>33.39999999999997</c:v>
                </c:pt>
                <c:pt idx="22">
                  <c:v>33.799999999999969</c:v>
                </c:pt>
                <c:pt idx="23">
                  <c:v>34.199999999999967</c:v>
                </c:pt>
                <c:pt idx="24">
                  <c:v>34.599999999999966</c:v>
                </c:pt>
                <c:pt idx="25">
                  <c:v>34.999999999999964</c:v>
                </c:pt>
                <c:pt idx="26">
                  <c:v>35.399999999999963</c:v>
                </c:pt>
                <c:pt idx="27">
                  <c:v>35.799999999999962</c:v>
                </c:pt>
                <c:pt idx="28">
                  <c:v>36.19999999999996</c:v>
                </c:pt>
                <c:pt idx="29">
                  <c:v>36.599999999999959</c:v>
                </c:pt>
                <c:pt idx="30">
                  <c:v>36.999999999999957</c:v>
                </c:pt>
                <c:pt idx="31">
                  <c:v>37.399999999999956</c:v>
                </c:pt>
                <c:pt idx="32">
                  <c:v>37.799999999999955</c:v>
                </c:pt>
                <c:pt idx="33">
                  <c:v>38.199999999999953</c:v>
                </c:pt>
                <c:pt idx="34">
                  <c:v>38.599999999999952</c:v>
                </c:pt>
                <c:pt idx="35">
                  <c:v>38.99999999999995</c:v>
                </c:pt>
                <c:pt idx="36">
                  <c:v>39.399999999999949</c:v>
                </c:pt>
                <c:pt idx="37">
                  <c:v>39.799999999999947</c:v>
                </c:pt>
                <c:pt idx="38">
                  <c:v>40.199999999999946</c:v>
                </c:pt>
                <c:pt idx="39">
                  <c:v>40.599999999999945</c:v>
                </c:pt>
                <c:pt idx="40">
                  <c:v>40.999999999999943</c:v>
                </c:pt>
                <c:pt idx="41">
                  <c:v>41.399999999999942</c:v>
                </c:pt>
                <c:pt idx="42">
                  <c:v>41.79999999999994</c:v>
                </c:pt>
                <c:pt idx="43">
                  <c:v>42.199999999999939</c:v>
                </c:pt>
                <c:pt idx="44">
                  <c:v>42.599999999999937</c:v>
                </c:pt>
                <c:pt idx="45">
                  <c:v>42.999999999999936</c:v>
                </c:pt>
                <c:pt idx="46">
                  <c:v>43.399999999999935</c:v>
                </c:pt>
                <c:pt idx="47">
                  <c:v>43.799999999999933</c:v>
                </c:pt>
                <c:pt idx="48">
                  <c:v>44.199999999999932</c:v>
                </c:pt>
                <c:pt idx="49">
                  <c:v>44.59999999999993</c:v>
                </c:pt>
                <c:pt idx="50">
                  <c:v>44.999999999999929</c:v>
                </c:pt>
                <c:pt idx="51">
                  <c:v>45.399999999999928</c:v>
                </c:pt>
                <c:pt idx="52">
                  <c:v>45.799999999999926</c:v>
                </c:pt>
                <c:pt idx="53">
                  <c:v>46.199999999999925</c:v>
                </c:pt>
                <c:pt idx="54">
                  <c:v>46.599999999999923</c:v>
                </c:pt>
                <c:pt idx="55">
                  <c:v>46.999999999999922</c:v>
                </c:pt>
                <c:pt idx="56">
                  <c:v>47.39999999999992</c:v>
                </c:pt>
                <c:pt idx="57">
                  <c:v>47.799999999999919</c:v>
                </c:pt>
                <c:pt idx="58">
                  <c:v>48.199999999999918</c:v>
                </c:pt>
                <c:pt idx="59">
                  <c:v>48.599999999999916</c:v>
                </c:pt>
                <c:pt idx="60">
                  <c:v>48.999999999999915</c:v>
                </c:pt>
                <c:pt idx="61">
                  <c:v>49.399999999999913</c:v>
                </c:pt>
                <c:pt idx="62">
                  <c:v>49.799999999999912</c:v>
                </c:pt>
                <c:pt idx="63">
                  <c:v>50.19999999999991</c:v>
                </c:pt>
                <c:pt idx="64">
                  <c:v>50.599999999999909</c:v>
                </c:pt>
                <c:pt idx="65">
                  <c:v>50.999999999999908</c:v>
                </c:pt>
                <c:pt idx="66">
                  <c:v>51.399999999999906</c:v>
                </c:pt>
                <c:pt idx="67">
                  <c:v>51.799999999999905</c:v>
                </c:pt>
                <c:pt idx="68">
                  <c:v>52.199999999999903</c:v>
                </c:pt>
                <c:pt idx="69">
                  <c:v>52.599999999999902</c:v>
                </c:pt>
                <c:pt idx="70">
                  <c:v>52.999999999999901</c:v>
                </c:pt>
                <c:pt idx="71">
                  <c:v>53.399999999999899</c:v>
                </c:pt>
                <c:pt idx="72">
                  <c:v>53.799999999999898</c:v>
                </c:pt>
                <c:pt idx="73">
                  <c:v>54.199999999999896</c:v>
                </c:pt>
                <c:pt idx="74">
                  <c:v>54.599999999999895</c:v>
                </c:pt>
                <c:pt idx="75">
                  <c:v>54.999999999999893</c:v>
                </c:pt>
                <c:pt idx="76">
                  <c:v>55.399999999999892</c:v>
                </c:pt>
                <c:pt idx="77">
                  <c:v>55.799999999999891</c:v>
                </c:pt>
                <c:pt idx="78">
                  <c:v>56.199999999999889</c:v>
                </c:pt>
              </c:numCache>
            </c:numRef>
          </c:xVal>
          <c:yVal>
            <c:numRef>
              <c:f>data!$BF$6:$BF$84</c:f>
              <c:numCache>
                <c:formatCode>0.00</c:formatCode>
                <c:ptCount val="79"/>
                <c:pt idx="0">
                  <c:v>1.5648953336588146E-14</c:v>
                </c:pt>
                <c:pt idx="1">
                  <c:v>6.6625629658078913E-14</c:v>
                </c:pt>
                <c:pt idx="2">
                  <c:v>2.748601496920662E-13</c:v>
                </c:pt>
                <c:pt idx="3">
                  <c:v>1.0987443434924277E-12</c:v>
                </c:pt>
                <c:pt idx="4">
                  <c:v>4.2559444150925644E-12</c:v>
                </c:pt>
                <c:pt idx="5">
                  <c:v>1.5973852263705711E-11</c:v>
                </c:pt>
                <c:pt idx="6">
                  <c:v>5.8094872259892553E-11</c:v>
                </c:pt>
                <c:pt idx="7">
                  <c:v>2.0472946902634125E-10</c:v>
                </c:pt>
                <c:pt idx="8">
                  <c:v>6.9909684211785191E-10</c:v>
                </c:pt>
                <c:pt idx="9">
                  <c:v>2.3131763427106215E-9</c:v>
                </c:pt>
                <c:pt idx="10">
                  <c:v>7.4164242459686166E-9</c:v>
                </c:pt>
                <c:pt idx="11">
                  <c:v>2.3040654381023286E-8</c:v>
                </c:pt>
                <c:pt idx="12">
                  <c:v>6.9360062383108363E-8</c:v>
                </c:pt>
                <c:pt idx="13">
                  <c:v>2.023198815665366E-7</c:v>
                </c:pt>
                <c:pt idx="14">
                  <c:v>5.7184992763701264E-7</c:v>
                </c:pt>
                <c:pt idx="15">
                  <c:v>1.5661739647532678E-6</c:v>
                </c:pt>
                <c:pt idx="16">
                  <c:v>4.156352292713975E-6</c:v>
                </c:pt>
                <c:pt idx="17">
                  <c:v>1.0688065919530768E-5</c:v>
                </c:pt>
                <c:pt idx="18">
                  <c:v>2.663178753655282E-5</c:v>
                </c:pt>
                <c:pt idx="19">
                  <c:v>6.430073430633166E-5</c:v>
                </c:pt>
                <c:pt idx="20">
                  <c:v>1.5043398806727351E-4</c:v>
                </c:pt>
                <c:pt idx="21">
                  <c:v>3.4102830522541428E-4</c:v>
                </c:pt>
                <c:pt idx="22">
                  <c:v>7.4911640164861387E-4</c:v>
                </c:pt>
                <c:pt idx="23">
                  <c:v>1.5944929610789912E-3</c:v>
                </c:pt>
                <c:pt idx="24">
                  <c:v>3.2885945157542836E-3</c:v>
                </c:pt>
                <c:pt idx="25">
                  <c:v>6.5722257307281422E-3</c:v>
                </c:pt>
                <c:pt idx="26">
                  <c:v>1.2727087674044808E-2</c:v>
                </c:pt>
                <c:pt idx="27">
                  <c:v>2.3881413135196664E-2</c:v>
                </c:pt>
                <c:pt idx="28">
                  <c:v>4.3421560669554764E-2</c:v>
                </c:pt>
                <c:pt idx="29">
                  <c:v>7.6500673295780322E-2</c:v>
                </c:pt>
                <c:pt idx="30">
                  <c:v>0.13059889649726791</c:v>
                </c:pt>
                <c:pt idx="31">
                  <c:v>0.21603702028266433</c:v>
                </c:pt>
                <c:pt idx="32">
                  <c:v>0.34628307959299409</c:v>
                </c:pt>
                <c:pt idx="33">
                  <c:v>0.53783465851124379</c:v>
                </c:pt>
                <c:pt idx="34">
                  <c:v>0.80943265344761162</c:v>
                </c:pt>
                <c:pt idx="35">
                  <c:v>1.180394227396838</c:v>
                </c:pt>
                <c:pt idx="36">
                  <c:v>1.667968539524731</c:v>
                </c:pt>
                <c:pt idx="37">
                  <c:v>2.2838262175855473</c:v>
                </c:pt>
                <c:pt idx="38">
                  <c:v>3.0300700924970925</c:v>
                </c:pt>
                <c:pt idx="39">
                  <c:v>3.8954417703618431</c:v>
                </c:pt>
                <c:pt idx="40">
                  <c:v>4.8526076682333761</c:v>
                </c:pt>
                <c:pt idx="41">
                  <c:v>5.857442915850525</c:v>
                </c:pt>
                <c:pt idx="42">
                  <c:v>6.8510221377323939</c:v>
                </c:pt>
                <c:pt idx="43">
                  <c:v>7.7645644328697099</c:v>
                </c:pt>
                <c:pt idx="44">
                  <c:v>8.5269407825748971</c:v>
                </c:pt>
                <c:pt idx="45">
                  <c:v>9.0736874791313546</c:v>
                </c:pt>
                <c:pt idx="46">
                  <c:v>9.3559697373311099</c:v>
                </c:pt>
                <c:pt idx="47">
                  <c:v>9.3477743692639219</c:v>
                </c:pt>
                <c:pt idx="48">
                  <c:v>9.0498640512786093</c:v>
                </c:pt>
                <c:pt idx="49">
                  <c:v>8.4896602536726924</c:v>
                </c:pt>
                <c:pt idx="50">
                  <c:v>7.7170797328936578</c:v>
                </c:pt>
                <c:pt idx="51">
                  <c:v>6.7972005757074303</c:v>
                </c:pt>
                <c:pt idx="52">
                  <c:v>5.8012503146835588</c:v>
                </c:pt>
                <c:pt idx="53">
                  <c:v>4.7976387742899806</c:v>
                </c:pt>
                <c:pt idx="54">
                  <c:v>3.8445711969785537</c:v>
                </c:pt>
                <c:pt idx="55">
                  <c:v>2.9852636405402051</c:v>
                </c:pt>
                <c:pt idx="56">
                  <c:v>2.2461145247814991</c:v>
                </c:pt>
                <c:pt idx="57">
                  <c:v>1.6375535937561625</c:v>
                </c:pt>
                <c:pt idx="58">
                  <c:v>1.1568407277271087</c:v>
                </c:pt>
                <c:pt idx="59">
                  <c:v>0.79189215186032591</c:v>
                </c:pt>
                <c:pt idx="60">
                  <c:v>0.52525830644951632</c:v>
                </c:pt>
                <c:pt idx="61">
                  <c:v>0.33759362785477059</c:v>
                </c:pt>
                <c:pt idx="62">
                  <c:v>0.21024708033721196</c:v>
                </c:pt>
                <c:pt idx="63">
                  <c:v>0.12687618975824147</c:v>
                </c:pt>
                <c:pt idx="64">
                  <c:v>7.4189885938801575E-2</c:v>
                </c:pt>
                <c:pt idx="65">
                  <c:v>4.203622426259223E-2</c:v>
                </c:pt>
                <c:pt idx="66">
                  <c:v>2.307900698548274E-2</c:v>
                </c:pt>
                <c:pt idx="67">
                  <c:v>1.2277924493418852E-2</c:v>
                </c:pt>
                <c:pt idx="68">
                  <c:v>6.3291766794391843E-3</c:v>
                </c:pt>
                <c:pt idx="69">
                  <c:v>3.161432412140462E-3</c:v>
                </c:pt>
                <c:pt idx="70">
                  <c:v>1.5301535182354563E-3</c:v>
                </c:pt>
                <c:pt idx="71">
                  <c:v>7.1762990813648041E-4</c:v>
                </c:pt>
                <c:pt idx="72">
                  <c:v>3.2612228496690145E-4</c:v>
                </c:pt>
                <c:pt idx="73">
                  <c:v>1.4360674687236173E-4</c:v>
                </c:pt>
                <c:pt idx="74">
                  <c:v>6.1275044209606908E-5</c:v>
                </c:pt>
                <c:pt idx="75">
                  <c:v>2.5334179518718591E-5</c:v>
                </c:pt>
                <c:pt idx="76">
                  <c:v>1.0149495967898453E-5</c:v>
                </c:pt>
                <c:pt idx="77">
                  <c:v>3.9400027816915908E-6</c:v>
                </c:pt>
                <c:pt idx="78">
                  <c:v>1.4820505021597756E-6</c:v>
                </c:pt>
              </c:numCache>
            </c:numRef>
          </c:yVal>
        </c:ser>
        <c:ser>
          <c:idx val="3"/>
          <c:order val="3"/>
          <c:tx>
            <c:v>GAUSSIAN FIT EURING 6</c:v>
          </c:tx>
          <c:spPr>
            <a:ln w="15875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data!$BE$6:$BE$84</c:f>
              <c:numCache>
                <c:formatCode>0.00</c:formatCode>
                <c:ptCount val="79"/>
                <c:pt idx="0">
                  <c:v>25</c:v>
                </c:pt>
                <c:pt idx="1">
                  <c:v>25.4</c:v>
                </c:pt>
                <c:pt idx="2">
                  <c:v>25.799999999999997</c:v>
                </c:pt>
                <c:pt idx="3">
                  <c:v>26.199999999999996</c:v>
                </c:pt>
                <c:pt idx="4">
                  <c:v>26.599999999999994</c:v>
                </c:pt>
                <c:pt idx="5">
                  <c:v>26.999999999999993</c:v>
                </c:pt>
                <c:pt idx="6">
                  <c:v>27.399999999999991</c:v>
                </c:pt>
                <c:pt idx="7">
                  <c:v>27.79999999999999</c:v>
                </c:pt>
                <c:pt idx="8">
                  <c:v>28.199999999999989</c:v>
                </c:pt>
                <c:pt idx="9">
                  <c:v>28.599999999999987</c:v>
                </c:pt>
                <c:pt idx="10">
                  <c:v>28.999999999999986</c:v>
                </c:pt>
                <c:pt idx="11">
                  <c:v>29.399999999999984</c:v>
                </c:pt>
                <c:pt idx="12">
                  <c:v>29.799999999999983</c:v>
                </c:pt>
                <c:pt idx="13">
                  <c:v>30.199999999999982</c:v>
                </c:pt>
                <c:pt idx="14">
                  <c:v>30.59999999999998</c:v>
                </c:pt>
                <c:pt idx="15">
                  <c:v>30.999999999999979</c:v>
                </c:pt>
                <c:pt idx="16">
                  <c:v>31.399999999999977</c:v>
                </c:pt>
                <c:pt idx="17">
                  <c:v>31.799999999999976</c:v>
                </c:pt>
                <c:pt idx="18">
                  <c:v>32.199999999999974</c:v>
                </c:pt>
                <c:pt idx="19">
                  <c:v>32.599999999999973</c:v>
                </c:pt>
                <c:pt idx="20">
                  <c:v>32.999999999999972</c:v>
                </c:pt>
                <c:pt idx="21">
                  <c:v>33.39999999999997</c:v>
                </c:pt>
                <c:pt idx="22">
                  <c:v>33.799999999999969</c:v>
                </c:pt>
                <c:pt idx="23">
                  <c:v>34.199999999999967</c:v>
                </c:pt>
                <c:pt idx="24">
                  <c:v>34.599999999999966</c:v>
                </c:pt>
                <c:pt idx="25">
                  <c:v>34.999999999999964</c:v>
                </c:pt>
                <c:pt idx="26">
                  <c:v>35.399999999999963</c:v>
                </c:pt>
                <c:pt idx="27">
                  <c:v>35.799999999999962</c:v>
                </c:pt>
                <c:pt idx="28">
                  <c:v>36.19999999999996</c:v>
                </c:pt>
                <c:pt idx="29">
                  <c:v>36.599999999999959</c:v>
                </c:pt>
                <c:pt idx="30">
                  <c:v>36.999999999999957</c:v>
                </c:pt>
                <c:pt idx="31">
                  <c:v>37.399999999999956</c:v>
                </c:pt>
                <c:pt idx="32">
                  <c:v>37.799999999999955</c:v>
                </c:pt>
                <c:pt idx="33">
                  <c:v>38.199999999999953</c:v>
                </c:pt>
                <c:pt idx="34">
                  <c:v>38.599999999999952</c:v>
                </c:pt>
                <c:pt idx="35">
                  <c:v>38.99999999999995</c:v>
                </c:pt>
                <c:pt idx="36">
                  <c:v>39.399999999999949</c:v>
                </c:pt>
                <c:pt idx="37">
                  <c:v>39.799999999999947</c:v>
                </c:pt>
                <c:pt idx="38">
                  <c:v>40.199999999999946</c:v>
                </c:pt>
                <c:pt idx="39">
                  <c:v>40.599999999999945</c:v>
                </c:pt>
                <c:pt idx="40">
                  <c:v>40.999999999999943</c:v>
                </c:pt>
                <c:pt idx="41">
                  <c:v>41.399999999999942</c:v>
                </c:pt>
                <c:pt idx="42">
                  <c:v>41.79999999999994</c:v>
                </c:pt>
                <c:pt idx="43">
                  <c:v>42.199999999999939</c:v>
                </c:pt>
                <c:pt idx="44">
                  <c:v>42.599999999999937</c:v>
                </c:pt>
                <c:pt idx="45">
                  <c:v>42.999999999999936</c:v>
                </c:pt>
                <c:pt idx="46">
                  <c:v>43.399999999999935</c:v>
                </c:pt>
                <c:pt idx="47">
                  <c:v>43.799999999999933</c:v>
                </c:pt>
                <c:pt idx="48">
                  <c:v>44.199999999999932</c:v>
                </c:pt>
                <c:pt idx="49">
                  <c:v>44.59999999999993</c:v>
                </c:pt>
                <c:pt idx="50">
                  <c:v>44.999999999999929</c:v>
                </c:pt>
                <c:pt idx="51">
                  <c:v>45.399999999999928</c:v>
                </c:pt>
                <c:pt idx="52">
                  <c:v>45.799999999999926</c:v>
                </c:pt>
                <c:pt idx="53">
                  <c:v>46.199999999999925</c:v>
                </c:pt>
                <c:pt idx="54">
                  <c:v>46.599999999999923</c:v>
                </c:pt>
                <c:pt idx="55">
                  <c:v>46.999999999999922</c:v>
                </c:pt>
                <c:pt idx="56">
                  <c:v>47.39999999999992</c:v>
                </c:pt>
                <c:pt idx="57">
                  <c:v>47.799999999999919</c:v>
                </c:pt>
                <c:pt idx="58">
                  <c:v>48.199999999999918</c:v>
                </c:pt>
                <c:pt idx="59">
                  <c:v>48.599999999999916</c:v>
                </c:pt>
                <c:pt idx="60">
                  <c:v>48.999999999999915</c:v>
                </c:pt>
                <c:pt idx="61">
                  <c:v>49.399999999999913</c:v>
                </c:pt>
                <c:pt idx="62">
                  <c:v>49.799999999999912</c:v>
                </c:pt>
                <c:pt idx="63">
                  <c:v>50.19999999999991</c:v>
                </c:pt>
                <c:pt idx="64">
                  <c:v>50.599999999999909</c:v>
                </c:pt>
                <c:pt idx="65">
                  <c:v>50.999999999999908</c:v>
                </c:pt>
                <c:pt idx="66">
                  <c:v>51.399999999999906</c:v>
                </c:pt>
                <c:pt idx="67">
                  <c:v>51.799999999999905</c:v>
                </c:pt>
                <c:pt idx="68">
                  <c:v>52.199999999999903</c:v>
                </c:pt>
                <c:pt idx="69">
                  <c:v>52.599999999999902</c:v>
                </c:pt>
                <c:pt idx="70">
                  <c:v>52.999999999999901</c:v>
                </c:pt>
                <c:pt idx="71">
                  <c:v>53.399999999999899</c:v>
                </c:pt>
                <c:pt idx="72">
                  <c:v>53.799999999999898</c:v>
                </c:pt>
                <c:pt idx="73">
                  <c:v>54.199999999999896</c:v>
                </c:pt>
                <c:pt idx="74">
                  <c:v>54.599999999999895</c:v>
                </c:pt>
                <c:pt idx="75">
                  <c:v>54.999999999999893</c:v>
                </c:pt>
                <c:pt idx="76">
                  <c:v>55.399999999999892</c:v>
                </c:pt>
                <c:pt idx="77">
                  <c:v>55.799999999999891</c:v>
                </c:pt>
                <c:pt idx="78">
                  <c:v>56.199999999999889</c:v>
                </c:pt>
              </c:numCache>
            </c:numRef>
          </c:xVal>
          <c:yVal>
            <c:numRef>
              <c:f>data!$BG$6:$BG$84</c:f>
              <c:numCache>
                <c:formatCode>0.00</c:formatCode>
                <c:ptCount val="79"/>
                <c:pt idx="0">
                  <c:v>2.1608692835896946E-10</c:v>
                </c:pt>
                <c:pt idx="1">
                  <c:v>6.1880739455436248E-10</c:v>
                </c:pt>
                <c:pt idx="2">
                  <c:v>1.7318166180022211E-9</c:v>
                </c:pt>
                <c:pt idx="3">
                  <c:v>4.7366110080011185E-9</c:v>
                </c:pt>
                <c:pt idx="4">
                  <c:v>1.2660560897661243E-8</c:v>
                </c:pt>
                <c:pt idx="5">
                  <c:v>3.3071780927281176E-8</c:v>
                </c:pt>
                <c:pt idx="6">
                  <c:v>8.4427052529188673E-8</c:v>
                </c:pt>
                <c:pt idx="7">
                  <c:v>2.1063235440668878E-7</c:v>
                </c:pt>
                <c:pt idx="8">
                  <c:v>5.1355616384513512E-7</c:v>
                </c:pt>
                <c:pt idx="9">
                  <c:v>1.2236866422347493E-6</c:v>
                </c:pt>
                <c:pt idx="10">
                  <c:v>2.849521261744306E-6</c:v>
                </c:pt>
                <c:pt idx="11">
                  <c:v>6.4847463540235011E-6</c:v>
                </c:pt>
                <c:pt idx="12">
                  <c:v>1.4422265784383036E-5</c:v>
                </c:pt>
                <c:pt idx="13">
                  <c:v>3.1346813878145177E-5</c:v>
                </c:pt>
                <c:pt idx="14">
                  <c:v>6.6584435945959031E-5</c:v>
                </c:pt>
                <c:pt idx="15">
                  <c:v>1.3822017999669421E-4</c:v>
                </c:pt>
                <c:pt idx="16">
                  <c:v>2.804074788197467E-4</c:v>
                </c:pt>
                <c:pt idx="17">
                  <c:v>5.5593899850761867E-4</c:v>
                </c:pt>
                <c:pt idx="18">
                  <c:v>1.0771696229646859E-3</c:v>
                </c:pt>
                <c:pt idx="19">
                  <c:v>2.0396726095688999E-3</c:v>
                </c:pt>
                <c:pt idx="20">
                  <c:v>3.7744722743831994E-3</c:v>
                </c:pt>
                <c:pt idx="21">
                  <c:v>6.8260807988380686E-3</c:v>
                </c:pt>
                <c:pt idx="22">
                  <c:v>1.206440808411364E-2</c:v>
                </c:pt>
                <c:pt idx="23">
                  <c:v>2.0838191396733059E-2</c:v>
                </c:pt>
                <c:pt idx="24">
                  <c:v>3.5174945698799531E-2</c:v>
                </c:pt>
                <c:pt idx="25">
                  <c:v>5.8026484246177693E-2</c:v>
                </c:pt>
                <c:pt idx="26">
                  <c:v>9.3548857876104341E-2</c:v>
                </c:pt>
                <c:pt idx="27">
                  <c:v>0.14739071668054515</c:v>
                </c:pt>
                <c:pt idx="28">
                  <c:v>0.22694529366477398</c:v>
                </c:pt>
                <c:pt idx="29">
                  <c:v>0.34150073323142177</c:v>
                </c:pt>
                <c:pt idx="30">
                  <c:v>0.50220555174704862</c:v>
                </c:pt>
                <c:pt idx="31">
                  <c:v>0.72175663945969704</c:v>
                </c:pt>
                <c:pt idx="32">
                  <c:v>1.0137234086368536</c:v>
                </c:pt>
                <c:pt idx="33">
                  <c:v>1.3914498942280589</c:v>
                </c:pt>
                <c:pt idx="34">
                  <c:v>1.8665304459407814</c:v>
                </c:pt>
                <c:pt idx="35">
                  <c:v>2.4469325258568611</c:v>
                </c:pt>
                <c:pt idx="36">
                  <c:v>3.1349333984947507</c:v>
                </c:pt>
                <c:pt idx="37">
                  <c:v>3.9251300700552738</c:v>
                </c:pt>
                <c:pt idx="38">
                  <c:v>4.8028519149647737</c:v>
                </c:pt>
                <c:pt idx="39">
                  <c:v>5.7433297156908134</c:v>
                </c:pt>
                <c:pt idx="40">
                  <c:v>6.7119345251707241</c:v>
                </c:pt>
                <c:pt idx="41">
                  <c:v>7.6656870050696622</c:v>
                </c:pt>
                <c:pt idx="42">
                  <c:v>8.5560608293861744</c:v>
                </c:pt>
                <c:pt idx="43">
                  <c:v>9.3328879902772499</c:v>
                </c:pt>
                <c:pt idx="44">
                  <c:v>9.9489592728954399</c:v>
                </c:pt>
                <c:pt idx="45">
                  <c:v>10.36474595463755</c:v>
                </c:pt>
                <c:pt idx="46">
                  <c:v>10.552590364858256</c:v>
                </c:pt>
                <c:pt idx="47">
                  <c:v>10.499748757448119</c:v>
                </c:pt>
                <c:pt idx="48">
                  <c:v>10.209821372896068</c:v>
                </c:pt>
                <c:pt idx="49">
                  <c:v>9.7023467098185261</c:v>
                </c:pt>
                <c:pt idx="50">
                  <c:v>9.0106235364659959</c:v>
                </c:pt>
                <c:pt idx="51">
                  <c:v>8.1780979890982692</c:v>
                </c:pt>
                <c:pt idx="52">
                  <c:v>7.253860241981827</c:v>
                </c:pt>
                <c:pt idx="53">
                  <c:v>6.2878976970935989</c:v>
                </c:pt>
                <c:pt idx="54">
                  <c:v>5.3267358369311406</c:v>
                </c:pt>
                <c:pt idx="55">
                  <c:v>4.4099763636100304</c:v>
                </c:pt>
                <c:pt idx="56">
                  <c:v>3.5680486969666028</c:v>
                </c:pt>
                <c:pt idx="57">
                  <c:v>2.8212702780025589</c:v>
                </c:pt>
                <c:pt idx="58">
                  <c:v>2.1801080749613089</c:v>
                </c:pt>
                <c:pt idx="59">
                  <c:v>1.646382581757877</c:v>
                </c:pt>
                <c:pt idx="60">
                  <c:v>1.2150745128213483</c:v>
                </c:pt>
                <c:pt idx="61">
                  <c:v>0.87638405857689061</c:v>
                </c:pt>
                <c:pt idx="62">
                  <c:v>0.61773959116986943</c:v>
                </c:pt>
                <c:pt idx="63">
                  <c:v>0.42553551586759586</c:v>
                </c:pt>
                <c:pt idx="64">
                  <c:v>0.28647425498971335</c:v>
                </c:pt>
                <c:pt idx="65">
                  <c:v>0.18847545213322872</c:v>
                </c:pt>
                <c:pt idx="66">
                  <c:v>0.12118347397307518</c:v>
                </c:pt>
                <c:pt idx="67">
                  <c:v>7.6146757016081854E-2</c:v>
                </c:pt>
                <c:pt idx="68">
                  <c:v>4.6760466498328275E-2</c:v>
                </c:pt>
                <c:pt idx="69">
                  <c:v>2.806245536723859E-2</c:v>
                </c:pt>
                <c:pt idx="70">
                  <c:v>1.6458562816497286E-2</c:v>
                </c:pt>
                <c:pt idx="71">
                  <c:v>9.4336022357549079E-3</c:v>
                </c:pt>
                <c:pt idx="72">
                  <c:v>5.2842410539124304E-3</c:v>
                </c:pt>
                <c:pt idx="73">
                  <c:v>2.8927246110084298E-3</c:v>
                </c:pt>
                <c:pt idx="74">
                  <c:v>1.5475723780120092E-3</c:v>
                </c:pt>
                <c:pt idx="75">
                  <c:v>8.0912246230693374E-4</c:v>
                </c:pt>
                <c:pt idx="76">
                  <c:v>4.134252099327979E-4</c:v>
                </c:pt>
                <c:pt idx="77">
                  <c:v>2.0644247761164063E-4</c:v>
                </c:pt>
                <c:pt idx="78">
                  <c:v>1.0074432210763239E-4</c:v>
                </c:pt>
              </c:numCache>
            </c:numRef>
          </c:yVal>
        </c:ser>
        <c:axId val="118737920"/>
        <c:axId val="118748288"/>
      </c:scatterChart>
      <c:valAx>
        <c:axId val="118737920"/>
        <c:scaling>
          <c:orientation val="minMax"/>
          <c:min val="20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sz="1200"/>
                  <a:t>HUE</a:t>
                </a:r>
                <a:endParaRPr lang="en-US" sz="1050"/>
              </a:p>
            </c:rich>
          </c:tx>
          <c:layout/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8748288"/>
        <c:crosses val="autoZero"/>
        <c:crossBetween val="midCat"/>
      </c:valAx>
      <c:valAx>
        <c:axId val="11874828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 sz="1200"/>
                  <a:t>Frequency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8737920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099471135883459"/>
          <c:y val="0.21880337948120193"/>
          <c:w val="0.19322097777066186"/>
          <c:h val="0.17966123516653398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7.9130156430758061E-2"/>
          <c:y val="3.6467140752692251E-2"/>
          <c:w val="0.83999873172455064"/>
          <c:h val="0.84423286930009978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22225">
                <a:solidFill>
                  <a:sysClr val="windowText" lastClr="000000"/>
                </a:solidFill>
              </a:ln>
            </c:spPr>
          </c:marker>
          <c:xVal>
            <c:numRef>
              <c:f>data!$BK$6:$BK$17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0.54999999999999993</c:v>
                </c:pt>
                <c:pt idx="6">
                  <c:v>0.6</c:v>
                </c:pt>
                <c:pt idx="7">
                  <c:v>0.65</c:v>
                </c:pt>
                <c:pt idx="8">
                  <c:v>0.70000000000000007</c:v>
                </c:pt>
                <c:pt idx="9">
                  <c:v>0.75000000000000011</c:v>
                </c:pt>
                <c:pt idx="10">
                  <c:v>0.80000000000000016</c:v>
                </c:pt>
                <c:pt idx="11">
                  <c:v>0.8500000000000002</c:v>
                </c:pt>
              </c:numCache>
            </c:numRef>
          </c:xVal>
          <c:yVal>
            <c:numRef>
              <c:f>data!$BL$6:$BL$17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>
              <a:noFill/>
            </a:ln>
          </c:spPr>
          <c:xVal>
            <c:numRef>
              <c:f>data!$BK$6:$BK$17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0.54999999999999993</c:v>
                </c:pt>
                <c:pt idx="6">
                  <c:v>0.6</c:v>
                </c:pt>
                <c:pt idx="7">
                  <c:v>0.65</c:v>
                </c:pt>
                <c:pt idx="8">
                  <c:v>0.70000000000000007</c:v>
                </c:pt>
                <c:pt idx="9">
                  <c:v>0.75000000000000011</c:v>
                </c:pt>
                <c:pt idx="10">
                  <c:v>0.80000000000000016</c:v>
                </c:pt>
                <c:pt idx="11">
                  <c:v>0.8500000000000002</c:v>
                </c:pt>
              </c:numCache>
            </c:numRef>
          </c:xVal>
          <c:yVal>
            <c:numRef>
              <c:f>data!$BM$6:$BM$17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</c:ser>
        <c:ser>
          <c:idx val="2"/>
          <c:order val="2"/>
          <c:tx>
            <c:v>GAUSSIAN FIT EURING 5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data!$BP$6:$BP$76</c:f>
              <c:numCache>
                <c:formatCode>General</c:formatCode>
                <c:ptCount val="71"/>
                <c:pt idx="0">
                  <c:v>0.2</c:v>
                </c:pt>
                <c:pt idx="1">
                  <c:v>0.21000000000000002</c:v>
                </c:pt>
                <c:pt idx="2">
                  <c:v>0.22000000000000003</c:v>
                </c:pt>
                <c:pt idx="3">
                  <c:v>0.23000000000000004</c:v>
                </c:pt>
                <c:pt idx="4">
                  <c:v>0.24000000000000005</c:v>
                </c:pt>
                <c:pt idx="5">
                  <c:v>0.25000000000000006</c:v>
                </c:pt>
                <c:pt idx="6">
                  <c:v>0.26000000000000006</c:v>
                </c:pt>
                <c:pt idx="7">
                  <c:v>0.27000000000000007</c:v>
                </c:pt>
                <c:pt idx="8">
                  <c:v>0.28000000000000008</c:v>
                </c:pt>
                <c:pt idx="9">
                  <c:v>0.29000000000000009</c:v>
                </c:pt>
                <c:pt idx="10">
                  <c:v>0.3000000000000001</c:v>
                </c:pt>
                <c:pt idx="11">
                  <c:v>0.31000000000000011</c:v>
                </c:pt>
                <c:pt idx="12">
                  <c:v>0.32000000000000012</c:v>
                </c:pt>
                <c:pt idx="13">
                  <c:v>0.33000000000000013</c:v>
                </c:pt>
                <c:pt idx="14">
                  <c:v>0.34000000000000014</c:v>
                </c:pt>
                <c:pt idx="15">
                  <c:v>0.35000000000000014</c:v>
                </c:pt>
                <c:pt idx="16">
                  <c:v>0.36000000000000015</c:v>
                </c:pt>
                <c:pt idx="17">
                  <c:v>0.37000000000000016</c:v>
                </c:pt>
                <c:pt idx="18">
                  <c:v>0.38000000000000017</c:v>
                </c:pt>
                <c:pt idx="19">
                  <c:v>0.39000000000000018</c:v>
                </c:pt>
                <c:pt idx="20">
                  <c:v>0.40000000000000019</c:v>
                </c:pt>
                <c:pt idx="21">
                  <c:v>0.4100000000000002</c:v>
                </c:pt>
                <c:pt idx="22">
                  <c:v>0.42000000000000021</c:v>
                </c:pt>
                <c:pt idx="23">
                  <c:v>0.43000000000000022</c:v>
                </c:pt>
                <c:pt idx="24">
                  <c:v>0.44000000000000022</c:v>
                </c:pt>
                <c:pt idx="25">
                  <c:v>0.45000000000000023</c:v>
                </c:pt>
                <c:pt idx="26">
                  <c:v>0.46000000000000024</c:v>
                </c:pt>
                <c:pt idx="27">
                  <c:v>0.47000000000000025</c:v>
                </c:pt>
                <c:pt idx="28">
                  <c:v>0.48000000000000026</c:v>
                </c:pt>
                <c:pt idx="29">
                  <c:v>0.49000000000000027</c:v>
                </c:pt>
                <c:pt idx="30">
                  <c:v>0.50000000000000022</c:v>
                </c:pt>
                <c:pt idx="31">
                  <c:v>0.51000000000000023</c:v>
                </c:pt>
                <c:pt idx="32">
                  <c:v>0.52000000000000024</c:v>
                </c:pt>
                <c:pt idx="33">
                  <c:v>0.53000000000000025</c:v>
                </c:pt>
                <c:pt idx="34">
                  <c:v>0.54000000000000026</c:v>
                </c:pt>
                <c:pt idx="35">
                  <c:v>0.55000000000000027</c:v>
                </c:pt>
                <c:pt idx="36">
                  <c:v>0.56000000000000028</c:v>
                </c:pt>
                <c:pt idx="37">
                  <c:v>0.57000000000000028</c:v>
                </c:pt>
                <c:pt idx="38">
                  <c:v>0.58000000000000029</c:v>
                </c:pt>
                <c:pt idx="39">
                  <c:v>0.5900000000000003</c:v>
                </c:pt>
                <c:pt idx="40">
                  <c:v>0.60000000000000031</c:v>
                </c:pt>
                <c:pt idx="41">
                  <c:v>0.61000000000000032</c:v>
                </c:pt>
                <c:pt idx="42">
                  <c:v>0.62000000000000033</c:v>
                </c:pt>
                <c:pt idx="43">
                  <c:v>0.63000000000000034</c:v>
                </c:pt>
                <c:pt idx="44">
                  <c:v>0.64000000000000035</c:v>
                </c:pt>
                <c:pt idx="45">
                  <c:v>0.65000000000000036</c:v>
                </c:pt>
                <c:pt idx="46">
                  <c:v>0.66000000000000036</c:v>
                </c:pt>
                <c:pt idx="47">
                  <c:v>0.67000000000000037</c:v>
                </c:pt>
                <c:pt idx="48">
                  <c:v>0.68000000000000038</c:v>
                </c:pt>
                <c:pt idx="49">
                  <c:v>0.69000000000000039</c:v>
                </c:pt>
                <c:pt idx="50">
                  <c:v>0.7000000000000004</c:v>
                </c:pt>
                <c:pt idx="51">
                  <c:v>0.71000000000000041</c:v>
                </c:pt>
                <c:pt idx="52">
                  <c:v>0.72000000000000042</c:v>
                </c:pt>
                <c:pt idx="53">
                  <c:v>0.73000000000000043</c:v>
                </c:pt>
                <c:pt idx="54">
                  <c:v>0.74000000000000044</c:v>
                </c:pt>
                <c:pt idx="55">
                  <c:v>0.75000000000000044</c:v>
                </c:pt>
                <c:pt idx="56">
                  <c:v>0.76000000000000045</c:v>
                </c:pt>
                <c:pt idx="57">
                  <c:v>0.77000000000000046</c:v>
                </c:pt>
                <c:pt idx="58">
                  <c:v>0.78000000000000047</c:v>
                </c:pt>
                <c:pt idx="59">
                  <c:v>0.79000000000000048</c:v>
                </c:pt>
                <c:pt idx="60">
                  <c:v>0.80000000000000049</c:v>
                </c:pt>
                <c:pt idx="61">
                  <c:v>0.8100000000000005</c:v>
                </c:pt>
                <c:pt idx="62">
                  <c:v>0.82000000000000051</c:v>
                </c:pt>
                <c:pt idx="63">
                  <c:v>0.83000000000000052</c:v>
                </c:pt>
                <c:pt idx="64">
                  <c:v>0.84000000000000052</c:v>
                </c:pt>
                <c:pt idx="65">
                  <c:v>0.85000000000000053</c:v>
                </c:pt>
                <c:pt idx="66">
                  <c:v>0.86000000000000054</c:v>
                </c:pt>
                <c:pt idx="67">
                  <c:v>0.87000000000000055</c:v>
                </c:pt>
                <c:pt idx="68">
                  <c:v>0.88000000000000056</c:v>
                </c:pt>
                <c:pt idx="69">
                  <c:v>0.89000000000000057</c:v>
                </c:pt>
                <c:pt idx="70">
                  <c:v>0.90000000000000058</c:v>
                </c:pt>
              </c:numCache>
            </c:numRef>
          </c:xVal>
          <c:yVal>
            <c:numRef>
              <c:f>data!$BQ$6:$BQ$76</c:f>
              <c:numCache>
                <c:formatCode>0.00</c:formatCode>
                <c:ptCount val="71"/>
                <c:pt idx="0">
                  <c:v>3.7925184881403499E-25</c:v>
                </c:pt>
                <c:pt idx="1">
                  <c:v>1.1257552042372354E-23</c:v>
                </c:pt>
                <c:pt idx="2">
                  <c:v>3.0212978849920897E-22</c:v>
                </c:pt>
                <c:pt idx="3">
                  <c:v>7.3312234489892265E-21</c:v>
                </c:pt>
                <c:pt idx="4">
                  <c:v>1.6083949215071925E-19</c:v>
                </c:pt>
                <c:pt idx="5">
                  <c:v>3.190378840695822E-18</c:v>
                </c:pt>
                <c:pt idx="6">
                  <c:v>5.7217008288081762E-17</c:v>
                </c:pt>
                <c:pt idx="7">
                  <c:v>9.2777221571140333E-16</c:v>
                </c:pt>
                <c:pt idx="8">
                  <c:v>1.3601628392380305E-14</c:v>
                </c:pt>
                <c:pt idx="9">
                  <c:v>1.8029088682487829E-13</c:v>
                </c:pt>
                <c:pt idx="10">
                  <c:v>2.1606776078242298E-12</c:v>
                </c:pt>
                <c:pt idx="11">
                  <c:v>2.341205274861099E-11</c:v>
                </c:pt>
                <c:pt idx="12">
                  <c:v>2.2936246284455625E-10</c:v>
                </c:pt>
                <c:pt idx="13">
                  <c:v>2.0316014743196236E-9</c:v>
                </c:pt>
                <c:pt idx="14">
                  <c:v>1.6270017569725138E-8</c:v>
                </c:pt>
                <c:pt idx="15">
                  <c:v>1.1780693339922498E-7</c:v>
                </c:pt>
                <c:pt idx="16">
                  <c:v>7.7123549112417124E-7</c:v>
                </c:pt>
                <c:pt idx="17">
                  <c:v>4.5649548804531001E-6</c:v>
                </c:pt>
                <c:pt idx="18">
                  <c:v>2.4429765509655075E-5</c:v>
                </c:pt>
                <c:pt idx="19">
                  <c:v>1.1820488750938426E-4</c:v>
                </c:pt>
                <c:pt idx="20">
                  <c:v>5.1711233366159013E-4</c:v>
                </c:pt>
                <c:pt idx="21">
                  <c:v>2.0453502354687266E-3</c:v>
                </c:pt>
                <c:pt idx="22">
                  <c:v>7.3144857904246345E-3</c:v>
                </c:pt>
                <c:pt idx="23">
                  <c:v>2.3650114224272788E-2</c:v>
                </c:pt>
                <c:pt idx="24">
                  <c:v>6.9137872485273519E-2</c:v>
                </c:pt>
                <c:pt idx="25">
                  <c:v>0.18273936293505449</c:v>
                </c:pt>
                <c:pt idx="26">
                  <c:v>0.43669832728407731</c:v>
                </c:pt>
                <c:pt idx="27">
                  <c:v>0.94354860503232418</c:v>
                </c:pt>
                <c:pt idx="28">
                  <c:v>1.843233487451355</c:v>
                </c:pt>
                <c:pt idx="29">
                  <c:v>3.2555903587297621</c:v>
                </c:pt>
                <c:pt idx="30">
                  <c:v>5.198912186826206</c:v>
                </c:pt>
                <c:pt idx="31">
                  <c:v>7.5063452708745206</c:v>
                </c:pt>
                <c:pt idx="32">
                  <c:v>9.7989133742928534</c:v>
                </c:pt>
                <c:pt idx="33">
                  <c:v>11.565399165073767</c:v>
                </c:pt>
                <c:pt idx="34">
                  <c:v>12.341747621500245</c:v>
                </c:pt>
                <c:pt idx="35">
                  <c:v>11.907648945240451</c:v>
                </c:pt>
                <c:pt idx="36">
                  <c:v>10.387444358769555</c:v>
                </c:pt>
                <c:pt idx="37">
                  <c:v>8.1926560994595086</c:v>
                </c:pt>
                <c:pt idx="38">
                  <c:v>5.8421683303579464</c:v>
                </c:pt>
                <c:pt idx="39">
                  <c:v>3.7666627215165378</c:v>
                </c:pt>
                <c:pt idx="40">
                  <c:v>2.1956986165657857</c:v>
                </c:pt>
                <c:pt idx="41">
                  <c:v>1.1572363030252788</c:v>
                </c:pt>
                <c:pt idx="42">
                  <c:v>0.55144816610178526</c:v>
                </c:pt>
                <c:pt idx="43">
                  <c:v>0.23758590433385396</c:v>
                </c:pt>
                <c:pt idx="44">
                  <c:v>9.2548625195534723E-2</c:v>
                </c:pt>
                <c:pt idx="45">
                  <c:v>3.25951211146773E-2</c:v>
                </c:pt>
                <c:pt idx="46">
                  <c:v>1.0379311668705333E-2</c:v>
                </c:pt>
                <c:pt idx="47">
                  <c:v>2.9882562305289942E-3</c:v>
                </c:pt>
                <c:pt idx="48">
                  <c:v>7.7785821178682699E-4</c:v>
                </c:pt>
                <c:pt idx="49">
                  <c:v>1.8306965988589861E-4</c:v>
                </c:pt>
                <c:pt idx="50">
                  <c:v>3.8955217643388211E-5</c:v>
                </c:pt>
                <c:pt idx="51">
                  <c:v>7.4945959166202994E-6</c:v>
                </c:pt>
                <c:pt idx="52">
                  <c:v>1.3036593858432322E-6</c:v>
                </c:pt>
                <c:pt idx="53">
                  <c:v>2.0502809474748463E-7</c:v>
                </c:pt>
                <c:pt idx="54">
                  <c:v>2.9153851869602729E-8</c:v>
                </c:pt>
                <c:pt idx="55">
                  <c:v>3.7481057548767704E-9</c:v>
                </c:pt>
                <c:pt idx="56">
                  <c:v>4.3567341139536053E-10</c:v>
                </c:pt>
                <c:pt idx="57">
                  <c:v>4.5787149055041076E-11</c:v>
                </c:pt>
                <c:pt idx="58">
                  <c:v>4.3507033900861018E-12</c:v>
                </c:pt>
                <c:pt idx="59">
                  <c:v>3.7377364526353919E-13</c:v>
                </c:pt>
                <c:pt idx="60">
                  <c:v>2.903295243147075E-14</c:v>
                </c:pt>
                <c:pt idx="61">
                  <c:v>2.0389522519332584E-15</c:v>
                </c:pt>
                <c:pt idx="62">
                  <c:v>1.2946615057684126E-16</c:v>
                </c:pt>
                <c:pt idx="63">
                  <c:v>7.4325654390446847E-18</c:v>
                </c:pt>
                <c:pt idx="64">
                  <c:v>3.8579320531639938E-19</c:v>
                </c:pt>
                <c:pt idx="65">
                  <c:v>1.8105216981457523E-20</c:v>
                </c:pt>
                <c:pt idx="66">
                  <c:v>7.6822108006661788E-22</c:v>
                </c:pt>
                <c:pt idx="67">
                  <c:v>2.9471485902045295E-23</c:v>
                </c:pt>
                <c:pt idx="68">
                  <c:v>1.0222360016567158E-24</c:v>
                </c:pt>
                <c:pt idx="69">
                  <c:v>3.2057794308683484E-26</c:v>
                </c:pt>
                <c:pt idx="70">
                  <c:v>9.0896975034987024E-28</c:v>
                </c:pt>
              </c:numCache>
            </c:numRef>
          </c:yVal>
        </c:ser>
        <c:ser>
          <c:idx val="3"/>
          <c:order val="3"/>
          <c:tx>
            <c:v>GAUSSIAN FIT EURING 6</c:v>
          </c:tx>
          <c:spPr>
            <a:ln w="15875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data!$BP$6:$BP$76</c:f>
              <c:numCache>
                <c:formatCode>General</c:formatCode>
                <c:ptCount val="71"/>
                <c:pt idx="0">
                  <c:v>0.2</c:v>
                </c:pt>
                <c:pt idx="1">
                  <c:v>0.21000000000000002</c:v>
                </c:pt>
                <c:pt idx="2">
                  <c:v>0.22000000000000003</c:v>
                </c:pt>
                <c:pt idx="3">
                  <c:v>0.23000000000000004</c:v>
                </c:pt>
                <c:pt idx="4">
                  <c:v>0.24000000000000005</c:v>
                </c:pt>
                <c:pt idx="5">
                  <c:v>0.25000000000000006</c:v>
                </c:pt>
                <c:pt idx="6">
                  <c:v>0.26000000000000006</c:v>
                </c:pt>
                <c:pt idx="7">
                  <c:v>0.27000000000000007</c:v>
                </c:pt>
                <c:pt idx="8">
                  <c:v>0.28000000000000008</c:v>
                </c:pt>
                <c:pt idx="9">
                  <c:v>0.29000000000000009</c:v>
                </c:pt>
                <c:pt idx="10">
                  <c:v>0.3000000000000001</c:v>
                </c:pt>
                <c:pt idx="11">
                  <c:v>0.31000000000000011</c:v>
                </c:pt>
                <c:pt idx="12">
                  <c:v>0.32000000000000012</c:v>
                </c:pt>
                <c:pt idx="13">
                  <c:v>0.33000000000000013</c:v>
                </c:pt>
                <c:pt idx="14">
                  <c:v>0.34000000000000014</c:v>
                </c:pt>
                <c:pt idx="15">
                  <c:v>0.35000000000000014</c:v>
                </c:pt>
                <c:pt idx="16">
                  <c:v>0.36000000000000015</c:v>
                </c:pt>
                <c:pt idx="17">
                  <c:v>0.37000000000000016</c:v>
                </c:pt>
                <c:pt idx="18">
                  <c:v>0.38000000000000017</c:v>
                </c:pt>
                <c:pt idx="19">
                  <c:v>0.39000000000000018</c:v>
                </c:pt>
                <c:pt idx="20">
                  <c:v>0.40000000000000019</c:v>
                </c:pt>
                <c:pt idx="21">
                  <c:v>0.4100000000000002</c:v>
                </c:pt>
                <c:pt idx="22">
                  <c:v>0.42000000000000021</c:v>
                </c:pt>
                <c:pt idx="23">
                  <c:v>0.43000000000000022</c:v>
                </c:pt>
                <c:pt idx="24">
                  <c:v>0.44000000000000022</c:v>
                </c:pt>
                <c:pt idx="25">
                  <c:v>0.45000000000000023</c:v>
                </c:pt>
                <c:pt idx="26">
                  <c:v>0.46000000000000024</c:v>
                </c:pt>
                <c:pt idx="27">
                  <c:v>0.47000000000000025</c:v>
                </c:pt>
                <c:pt idx="28">
                  <c:v>0.48000000000000026</c:v>
                </c:pt>
                <c:pt idx="29">
                  <c:v>0.49000000000000027</c:v>
                </c:pt>
                <c:pt idx="30">
                  <c:v>0.50000000000000022</c:v>
                </c:pt>
                <c:pt idx="31">
                  <c:v>0.51000000000000023</c:v>
                </c:pt>
                <c:pt idx="32">
                  <c:v>0.52000000000000024</c:v>
                </c:pt>
                <c:pt idx="33">
                  <c:v>0.53000000000000025</c:v>
                </c:pt>
                <c:pt idx="34">
                  <c:v>0.54000000000000026</c:v>
                </c:pt>
                <c:pt idx="35">
                  <c:v>0.55000000000000027</c:v>
                </c:pt>
                <c:pt idx="36">
                  <c:v>0.56000000000000028</c:v>
                </c:pt>
                <c:pt idx="37">
                  <c:v>0.57000000000000028</c:v>
                </c:pt>
                <c:pt idx="38">
                  <c:v>0.58000000000000029</c:v>
                </c:pt>
                <c:pt idx="39">
                  <c:v>0.5900000000000003</c:v>
                </c:pt>
                <c:pt idx="40">
                  <c:v>0.60000000000000031</c:v>
                </c:pt>
                <c:pt idx="41">
                  <c:v>0.61000000000000032</c:v>
                </c:pt>
                <c:pt idx="42">
                  <c:v>0.62000000000000033</c:v>
                </c:pt>
                <c:pt idx="43">
                  <c:v>0.63000000000000034</c:v>
                </c:pt>
                <c:pt idx="44">
                  <c:v>0.64000000000000035</c:v>
                </c:pt>
                <c:pt idx="45">
                  <c:v>0.65000000000000036</c:v>
                </c:pt>
                <c:pt idx="46">
                  <c:v>0.66000000000000036</c:v>
                </c:pt>
                <c:pt idx="47">
                  <c:v>0.67000000000000037</c:v>
                </c:pt>
                <c:pt idx="48">
                  <c:v>0.68000000000000038</c:v>
                </c:pt>
                <c:pt idx="49">
                  <c:v>0.69000000000000039</c:v>
                </c:pt>
                <c:pt idx="50">
                  <c:v>0.7000000000000004</c:v>
                </c:pt>
                <c:pt idx="51">
                  <c:v>0.71000000000000041</c:v>
                </c:pt>
                <c:pt idx="52">
                  <c:v>0.72000000000000042</c:v>
                </c:pt>
                <c:pt idx="53">
                  <c:v>0.73000000000000043</c:v>
                </c:pt>
                <c:pt idx="54">
                  <c:v>0.74000000000000044</c:v>
                </c:pt>
                <c:pt idx="55">
                  <c:v>0.75000000000000044</c:v>
                </c:pt>
                <c:pt idx="56">
                  <c:v>0.76000000000000045</c:v>
                </c:pt>
                <c:pt idx="57">
                  <c:v>0.77000000000000046</c:v>
                </c:pt>
                <c:pt idx="58">
                  <c:v>0.78000000000000047</c:v>
                </c:pt>
                <c:pt idx="59">
                  <c:v>0.79000000000000048</c:v>
                </c:pt>
                <c:pt idx="60">
                  <c:v>0.80000000000000049</c:v>
                </c:pt>
                <c:pt idx="61">
                  <c:v>0.8100000000000005</c:v>
                </c:pt>
                <c:pt idx="62">
                  <c:v>0.82000000000000051</c:v>
                </c:pt>
                <c:pt idx="63">
                  <c:v>0.83000000000000052</c:v>
                </c:pt>
                <c:pt idx="64">
                  <c:v>0.84000000000000052</c:v>
                </c:pt>
                <c:pt idx="65">
                  <c:v>0.85000000000000053</c:v>
                </c:pt>
                <c:pt idx="66">
                  <c:v>0.86000000000000054</c:v>
                </c:pt>
                <c:pt idx="67">
                  <c:v>0.87000000000000055</c:v>
                </c:pt>
                <c:pt idx="68">
                  <c:v>0.88000000000000056</c:v>
                </c:pt>
                <c:pt idx="69">
                  <c:v>0.89000000000000057</c:v>
                </c:pt>
                <c:pt idx="70">
                  <c:v>0.90000000000000058</c:v>
                </c:pt>
              </c:numCache>
            </c:numRef>
          </c:xVal>
          <c:yVal>
            <c:numRef>
              <c:f>data!$BR$6:$BR$76</c:f>
              <c:numCache>
                <c:formatCode>0.00</c:formatCode>
                <c:ptCount val="71"/>
                <c:pt idx="0">
                  <c:v>4.5389280398997329E-64</c:v>
                </c:pt>
                <c:pt idx="1">
                  <c:v>4.0003502239910737E-61</c:v>
                </c:pt>
                <c:pt idx="2">
                  <c:v>3.0096171298623879E-58</c:v>
                </c:pt>
                <c:pt idx="3">
                  <c:v>1.9328270881275071E-55</c:v>
                </c:pt>
                <c:pt idx="4">
                  <c:v>1.0596032337795239E-52</c:v>
                </c:pt>
                <c:pt idx="5">
                  <c:v>4.9586341225606717E-50</c:v>
                </c:pt>
                <c:pt idx="6">
                  <c:v>1.980839886043324E-47</c:v>
                </c:pt>
                <c:pt idx="7">
                  <c:v>6.7546865137361711E-45</c:v>
                </c:pt>
                <c:pt idx="8">
                  <c:v>1.9662083767323575E-42</c:v>
                </c:pt>
                <c:pt idx="9">
                  <c:v>4.8856505892560393E-40</c:v>
                </c:pt>
                <c:pt idx="10">
                  <c:v>1.0362959098423605E-37</c:v>
                </c:pt>
                <c:pt idx="11">
                  <c:v>1.8763492681646636E-35</c:v>
                </c:pt>
                <c:pt idx="12">
                  <c:v>2.9000941577344435E-33</c:v>
                </c:pt>
                <c:pt idx="13">
                  <c:v>3.8263001320094178E-31</c:v>
                </c:pt>
                <c:pt idx="14">
                  <c:v>4.3093769578342027E-29</c:v>
                </c:pt>
                <c:pt idx="15">
                  <c:v>4.1430336021826462E-27</c:v>
                </c:pt>
                <c:pt idx="16">
                  <c:v>3.4000941598874394E-25</c:v>
                </c:pt>
                <c:pt idx="17">
                  <c:v>2.3819462159821332E-23</c:v>
                </c:pt>
                <c:pt idx="18">
                  <c:v>1.4244311936192386E-21</c:v>
                </c:pt>
                <c:pt idx="19">
                  <c:v>7.2714248253652798E-20</c:v>
                </c:pt>
                <c:pt idx="20">
                  <c:v>3.168590235561572E-18</c:v>
                </c:pt>
                <c:pt idx="21">
                  <c:v>1.178639953147306E-16</c:v>
                </c:pt>
                <c:pt idx="22">
                  <c:v>3.7425253930173919E-15</c:v>
                </c:pt>
                <c:pt idx="23">
                  <c:v>1.0144178227925853E-13</c:v>
                </c:pt>
                <c:pt idx="24">
                  <c:v>2.3471319445312753E-12</c:v>
                </c:pt>
                <c:pt idx="25">
                  <c:v>4.6358209697309627E-11</c:v>
                </c:pt>
                <c:pt idx="26">
                  <c:v>7.8159959402907858E-10</c:v>
                </c:pt>
                <c:pt idx="27">
                  <c:v>1.1248911829020721E-8</c:v>
                </c:pt>
                <c:pt idx="28">
                  <c:v>1.3819910114868163E-7</c:v>
                </c:pt>
                <c:pt idx="29">
                  <c:v>1.4493338721144499E-6</c:v>
                </c:pt>
                <c:pt idx="30">
                  <c:v>1.2974785416169617E-5</c:v>
                </c:pt>
                <c:pt idx="31">
                  <c:v>9.9151763731350934E-5</c:v>
                </c:pt>
                <c:pt idx="32">
                  <c:v>6.4679882451661684E-4</c:v>
                </c:pt>
                <c:pt idx="33">
                  <c:v>3.6016915592168752E-3</c:v>
                </c:pt>
                <c:pt idx="34">
                  <c:v>1.7120337911265472E-2</c:v>
                </c:pt>
                <c:pt idx="35">
                  <c:v>6.9468298951809782E-2</c:v>
                </c:pt>
                <c:pt idx="36">
                  <c:v>0.24061877694265565</c:v>
                </c:pt>
                <c:pt idx="37">
                  <c:v>0.71144426596535126</c:v>
                </c:pt>
                <c:pt idx="38">
                  <c:v>1.7956461967182893</c:v>
                </c:pt>
                <c:pt idx="39">
                  <c:v>3.8687367116691598</c:v>
                </c:pt>
                <c:pt idx="40">
                  <c:v>7.1151833756930847</c:v>
                </c:pt>
                <c:pt idx="41">
                  <c:v>11.170472358435864</c:v>
                </c:pt>
                <c:pt idx="42">
                  <c:v>14.970127428452566</c:v>
                </c:pt>
                <c:pt idx="43">
                  <c:v>17.125685889956134</c:v>
                </c:pt>
                <c:pt idx="44">
                  <c:v>16.723954189987168</c:v>
                </c:pt>
                <c:pt idx="45">
                  <c:v>13.941146226149971</c:v>
                </c:pt>
                <c:pt idx="46">
                  <c:v>9.9203390119999035</c:v>
                </c:pt>
                <c:pt idx="47">
                  <c:v>6.0259158571417046</c:v>
                </c:pt>
                <c:pt idx="48">
                  <c:v>3.1245546893960663</c:v>
                </c:pt>
                <c:pt idx="49">
                  <c:v>1.3829985224376813</c:v>
                </c:pt>
                <c:pt idx="50">
                  <c:v>0.52254514827572074</c:v>
                </c:pt>
                <c:pt idx="51">
                  <c:v>0.16853668270674518</c:v>
                </c:pt>
                <c:pt idx="52">
                  <c:v>4.6401666813400473E-2</c:v>
                </c:pt>
                <c:pt idx="53">
                  <c:v>1.090539094729512E-2</c:v>
                </c:pt>
                <c:pt idx="54">
                  <c:v>2.1878493549638703E-3</c:v>
                </c:pt>
                <c:pt idx="55">
                  <c:v>3.7468137842534979E-4</c:v>
                </c:pt>
                <c:pt idx="56">
                  <c:v>5.4774108971060461E-5</c:v>
                </c:pt>
                <c:pt idx="57">
                  <c:v>6.8352916791523054E-6</c:v>
                </c:pt>
                <c:pt idx="58">
                  <c:v>7.2812727576390716E-7</c:v>
                </c:pt>
                <c:pt idx="59">
                  <c:v>6.621037788322554E-8</c:v>
                </c:pt>
                <c:pt idx="60">
                  <c:v>5.1394110161315572E-9</c:v>
                </c:pt>
                <c:pt idx="61">
                  <c:v>3.4054080137985068E-10</c:v>
                </c:pt>
                <c:pt idx="62">
                  <c:v>1.9261649437029094E-11</c:v>
                </c:pt>
                <c:pt idx="63">
                  <c:v>9.3000720513457461E-13</c:v>
                </c:pt>
                <c:pt idx="64">
                  <c:v>3.8330781167676958E-14</c:v>
                </c:pt>
                <c:pt idx="65">
                  <c:v>1.3485825788031306E-15</c:v>
                </c:pt>
                <c:pt idx="66">
                  <c:v>4.0501950464411122E-17</c:v>
                </c:pt>
                <c:pt idx="67">
                  <c:v>1.0383478053793227E-18</c:v>
                </c:pt>
                <c:pt idx="68">
                  <c:v>2.2723659790891111E-20</c:v>
                </c:pt>
                <c:pt idx="69">
                  <c:v>4.2450442916922709E-22</c:v>
                </c:pt>
                <c:pt idx="70">
                  <c:v>6.7694703649930566E-24</c:v>
                </c:pt>
              </c:numCache>
            </c:numRef>
          </c:yVal>
        </c:ser>
        <c:axId val="119122944"/>
        <c:axId val="119137408"/>
      </c:scatterChart>
      <c:valAx>
        <c:axId val="119122944"/>
        <c:scaling>
          <c:orientation val="minMax"/>
          <c:max val="0.9"/>
          <c:min val="0.2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sz="1200"/>
                  <a:t>CHROMA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8464058204180438"/>
              <c:y val="0.93662509878700873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137408"/>
        <c:crosses val="autoZero"/>
        <c:crossBetween val="midCat"/>
      </c:valAx>
      <c:valAx>
        <c:axId val="11913740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 sz="1200"/>
                  <a:t>Frequency</a:t>
                </a:r>
                <a:endParaRPr lang="en-US" sz="1100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122944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66541353256651492"/>
          <c:y val="0.23748008058151163"/>
          <c:w val="0.18322543809753325"/>
          <c:h val="0.16380843757573132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v>avrg 5</c:v>
          </c:tx>
          <c:spPr>
            <a:ln>
              <a:noFill/>
            </a:ln>
          </c:spPr>
          <c:marker>
            <c:symbol val="x"/>
            <c:size val="10"/>
            <c:spPr>
              <a:noFill/>
              <a:ln w="19050">
                <a:solidFill>
                  <a:schemeClr val="tx1"/>
                </a:solidFill>
              </a:ln>
            </c:spPr>
          </c:marker>
          <c:xVal>
            <c:numRef>
              <c:f>data!$AO$9</c:f>
              <c:numCache>
                <c:formatCode>0.00</c:formatCode>
                <c:ptCount val="1"/>
                <c:pt idx="0">
                  <c:v>0.53635322982214984</c:v>
                </c:pt>
              </c:numCache>
            </c:numRef>
          </c:xVal>
          <c:yVal>
            <c:numRef>
              <c:f>data!$AO$10</c:f>
              <c:numCache>
                <c:formatCode>0.00</c:formatCode>
                <c:ptCount val="1"/>
                <c:pt idx="0">
                  <c:v>0.44611534147693993</c:v>
                </c:pt>
              </c:numCache>
            </c:numRef>
          </c:yVal>
        </c:ser>
        <c:ser>
          <c:idx val="1"/>
          <c:order val="1"/>
          <c:tx>
            <c:v>avrg 6</c:v>
          </c:tx>
          <c:spPr>
            <a:ln>
              <a:noFill/>
            </a:ln>
          </c:spPr>
          <c:xVal>
            <c:numRef>
              <c:f>data!$AP$9</c:f>
              <c:numCache>
                <c:formatCode>0.00</c:formatCode>
                <c:ptCount val="1"/>
                <c:pt idx="0">
                  <c:v>0.62048675235798401</c:v>
                </c:pt>
              </c:numCache>
            </c:numRef>
          </c:xVal>
          <c:yVal>
            <c:numRef>
              <c:f>data!$AP$10</c:f>
              <c:numCache>
                <c:formatCode>0.00</c:formatCode>
                <c:ptCount val="1"/>
                <c:pt idx="0">
                  <c:v>0.7004617663937085</c:v>
                </c:pt>
              </c:numCache>
            </c:numRef>
          </c:yVal>
        </c:ser>
        <c:ser>
          <c:idx val="2"/>
          <c:order val="2"/>
          <c:tx>
            <c:v>avrg distance 5</c:v>
          </c:tx>
          <c:spPr>
            <a:ln w="2222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circles!$B$8:$B$188</c:f>
              <c:numCache>
                <c:formatCode>General</c:formatCode>
                <c:ptCount val="181"/>
                <c:pt idx="0">
                  <c:v>0.74534697015190976</c:v>
                </c:pt>
                <c:pt idx="1">
                  <c:v>0.74521965681212277</c:v>
                </c:pt>
                <c:pt idx="2">
                  <c:v>0.74483787190445516</c:v>
                </c:pt>
                <c:pt idx="3">
                  <c:v>0.74420208057500747</c:v>
                </c:pt>
                <c:pt idx="4">
                  <c:v>0.74331305743757847</c:v>
                </c:pt>
                <c:pt idx="5">
                  <c:v>0.74217188562991765</c:v>
                </c:pt>
                <c:pt idx="6">
                  <c:v>0.74077995549408859</c:v>
                </c:pt>
                <c:pt idx="7">
                  <c:v>0.73913896288255132</c:v>
                </c:pt>
                <c:pt idx="8">
                  <c:v>0.73725090709202756</c:v>
                </c:pt>
                <c:pt idx="9">
                  <c:v>0.73511808842766524</c:v>
                </c:pt>
                <c:pt idx="10">
                  <c:v>0.73274310540047161</c:v>
                </c:pt>
                <c:pt idx="11">
                  <c:v>0.73012885156142693</c:v>
                </c:pt>
                <c:pt idx="12">
                  <c:v>0.72727851197613924</c:v>
                </c:pt>
                <c:pt idx="13">
                  <c:v>0.72419555934433222</c:v>
                </c:pt>
                <c:pt idx="14">
                  <c:v>0.72088374976889502</c:v>
                </c:pt>
                <c:pt idx="15">
                  <c:v>0.71734711817965036</c:v>
                </c:pt>
                <c:pt idx="16">
                  <c:v>0.71358997341741326</c:v>
                </c:pt>
                <c:pt idx="17">
                  <c:v>0.70961689298433273</c:v>
                </c:pt>
                <c:pt idx="18">
                  <c:v>0.7054327174669105</c:v>
                </c:pt>
                <c:pt idx="19">
                  <c:v>0.70104254463849158</c:v>
                </c:pt>
                <c:pt idx="20">
                  <c:v>0.69645172324841309</c:v>
                </c:pt>
                <c:pt idx="21">
                  <c:v>0.6916658465053771</c:v>
                </c:pt>
                <c:pt idx="22">
                  <c:v>0.68669074526298723</c:v>
                </c:pt>
                <c:pt idx="23">
                  <c:v>0.68153248091575169</c:v>
                </c:pt>
                <c:pt idx="24">
                  <c:v>0.67619733801420789</c:v>
                </c:pt>
                <c:pt idx="25">
                  <c:v>0.67069181660816557</c:v>
                </c:pt>
                <c:pt idx="26">
                  <c:v>0.66502262432739734</c:v>
                </c:pt>
                <c:pt idx="27">
                  <c:v>0.65919666820942546</c:v>
                </c:pt>
                <c:pt idx="28">
                  <c:v>0.65322104628435962</c:v>
                </c:pt>
                <c:pt idx="29">
                  <c:v>0.64710303892704168</c:v>
                </c:pt>
                <c:pt idx="30">
                  <c:v>0.6408500999870298</c:v>
                </c:pt>
                <c:pt idx="31">
                  <c:v>0.63446984770723092</c:v>
                </c:pt>
                <c:pt idx="32">
                  <c:v>0.62797005544224538</c:v>
                </c:pt>
                <c:pt idx="33">
                  <c:v>0.62135864218773185</c:v>
                </c:pt>
                <c:pt idx="34">
                  <c:v>0.61464366293233086</c:v>
                </c:pt>
                <c:pt idx="35">
                  <c:v>0.60783329884390191</c:v>
                </c:pt>
                <c:pt idx="36">
                  <c:v>0.60093584730203053</c:v>
                </c:pt>
                <c:pt idx="37">
                  <c:v>0.59395971178894946</c:v>
                </c:pt>
                <c:pt idx="38">
                  <c:v>0.58691339165119016</c:v>
                </c:pt>
                <c:pt idx="39">
                  <c:v>0.57980547174443797</c:v>
                </c:pt>
                <c:pt idx="40">
                  <c:v>0.57264461197420835</c:v>
                </c:pt>
                <c:pt idx="41">
                  <c:v>0.56543953674508529</c:v>
                </c:pt>
                <c:pt idx="42">
                  <c:v>0.55819902433137869</c:v>
                </c:pt>
                <c:pt idx="43">
                  <c:v>0.55093189618214933</c:v>
                </c:pt>
                <c:pt idx="44">
                  <c:v>0.54364700617363171</c:v>
                </c:pt>
                <c:pt idx="45">
                  <c:v>0.53635322982214984</c:v>
                </c:pt>
                <c:pt idx="46">
                  <c:v>0.52905945347066807</c:v>
                </c:pt>
                <c:pt idx="47">
                  <c:v>0.52177456346215034</c:v>
                </c:pt>
                <c:pt idx="48">
                  <c:v>0.51450743531292109</c:v>
                </c:pt>
                <c:pt idx="49">
                  <c:v>0.50726692289921449</c:v>
                </c:pt>
                <c:pt idx="50">
                  <c:v>0.50006184767009143</c:v>
                </c:pt>
                <c:pt idx="51">
                  <c:v>0.49290098789986175</c:v>
                </c:pt>
                <c:pt idx="52">
                  <c:v>0.48579306799310956</c:v>
                </c:pt>
                <c:pt idx="53">
                  <c:v>0.47874674785535026</c:v>
                </c:pt>
                <c:pt idx="54">
                  <c:v>0.47177061234226919</c:v>
                </c:pt>
                <c:pt idx="55">
                  <c:v>0.46487316080039776</c:v>
                </c:pt>
                <c:pt idx="56">
                  <c:v>0.45806279671196876</c:v>
                </c:pt>
                <c:pt idx="57">
                  <c:v>0.45134781745656782</c:v>
                </c:pt>
                <c:pt idx="58">
                  <c:v>0.44473640420205429</c:v>
                </c:pt>
                <c:pt idx="59">
                  <c:v>0.43823661193706887</c:v>
                </c:pt>
                <c:pt idx="60">
                  <c:v>0.43185635965726987</c:v>
                </c:pt>
                <c:pt idx="61">
                  <c:v>0.42560342071725799</c:v>
                </c:pt>
                <c:pt idx="62">
                  <c:v>0.41948541335994005</c:v>
                </c:pt>
                <c:pt idx="63">
                  <c:v>0.41350979143487432</c:v>
                </c:pt>
                <c:pt idx="64">
                  <c:v>0.40768383531690233</c:v>
                </c:pt>
                <c:pt idx="65">
                  <c:v>0.4020146430361341</c:v>
                </c:pt>
                <c:pt idx="66">
                  <c:v>0.39650912163009178</c:v>
                </c:pt>
                <c:pt idx="67">
                  <c:v>0.39117397872854798</c:v>
                </c:pt>
                <c:pt idx="68">
                  <c:v>0.38601571438131244</c:v>
                </c:pt>
                <c:pt idx="69">
                  <c:v>0.38104061313892257</c:v>
                </c:pt>
                <c:pt idx="70">
                  <c:v>0.37625473639588658</c:v>
                </c:pt>
                <c:pt idx="71">
                  <c:v>0.37166391500580814</c:v>
                </c:pt>
                <c:pt idx="72">
                  <c:v>0.36727374217738923</c:v>
                </c:pt>
                <c:pt idx="73">
                  <c:v>0.36308956665996694</c:v>
                </c:pt>
                <c:pt idx="74">
                  <c:v>0.35911648622688641</c:v>
                </c:pt>
                <c:pt idx="75">
                  <c:v>0.35535934146464931</c:v>
                </c:pt>
                <c:pt idx="76">
                  <c:v>0.35182270987540465</c:v>
                </c:pt>
                <c:pt idx="77">
                  <c:v>0.34851090029996745</c:v>
                </c:pt>
                <c:pt idx="78">
                  <c:v>0.34542794766816043</c:v>
                </c:pt>
                <c:pt idx="79">
                  <c:v>0.34257760808287274</c:v>
                </c:pt>
                <c:pt idx="80">
                  <c:v>0.33996335424382812</c:v>
                </c:pt>
                <c:pt idx="81">
                  <c:v>0.33758837121663443</c:v>
                </c:pt>
                <c:pt idx="82">
                  <c:v>0.33545555255227222</c:v>
                </c:pt>
                <c:pt idx="83">
                  <c:v>0.33356749676174835</c:v>
                </c:pt>
                <c:pt idx="84">
                  <c:v>0.33192650415021113</c:v>
                </c:pt>
                <c:pt idx="85">
                  <c:v>0.33053457401438202</c:v>
                </c:pt>
                <c:pt idx="86">
                  <c:v>0.3293934022067212</c:v>
                </c:pt>
                <c:pt idx="87">
                  <c:v>0.3285043790692922</c:v>
                </c:pt>
                <c:pt idx="88">
                  <c:v>0.32786858773984451</c:v>
                </c:pt>
                <c:pt idx="89">
                  <c:v>0.3274868028321769</c:v>
                </c:pt>
                <c:pt idx="90">
                  <c:v>0.32735948949238991</c:v>
                </c:pt>
                <c:pt idx="91">
                  <c:v>0.3274868028321769</c:v>
                </c:pt>
                <c:pt idx="92">
                  <c:v>0.32786858773984451</c:v>
                </c:pt>
                <c:pt idx="93">
                  <c:v>0.3285043790692922</c:v>
                </c:pt>
                <c:pt idx="94">
                  <c:v>0.3293934022067212</c:v>
                </c:pt>
                <c:pt idx="95">
                  <c:v>0.33053457401438202</c:v>
                </c:pt>
                <c:pt idx="96">
                  <c:v>0.33192650415021113</c:v>
                </c:pt>
                <c:pt idx="97">
                  <c:v>0.33356749676174835</c:v>
                </c:pt>
                <c:pt idx="98">
                  <c:v>0.33545555255227211</c:v>
                </c:pt>
                <c:pt idx="99">
                  <c:v>0.33758837121663443</c:v>
                </c:pt>
                <c:pt idx="100">
                  <c:v>0.33996335424382806</c:v>
                </c:pt>
                <c:pt idx="101">
                  <c:v>0.34257760808287274</c:v>
                </c:pt>
                <c:pt idx="102">
                  <c:v>0.34542794766816032</c:v>
                </c:pt>
                <c:pt idx="103">
                  <c:v>0.34851090029996745</c:v>
                </c:pt>
                <c:pt idx="104">
                  <c:v>0.35182270987540465</c:v>
                </c:pt>
                <c:pt idx="105">
                  <c:v>0.35535934146464937</c:v>
                </c:pt>
                <c:pt idx="106">
                  <c:v>0.35911648622688641</c:v>
                </c:pt>
                <c:pt idx="107">
                  <c:v>0.36308956665996689</c:v>
                </c:pt>
                <c:pt idx="108">
                  <c:v>0.36727374217738917</c:v>
                </c:pt>
                <c:pt idx="109">
                  <c:v>0.37166391500580809</c:v>
                </c:pt>
                <c:pt idx="110">
                  <c:v>0.37625473639588658</c:v>
                </c:pt>
                <c:pt idx="111">
                  <c:v>0.38104061313892251</c:v>
                </c:pt>
                <c:pt idx="112">
                  <c:v>0.38601571438131244</c:v>
                </c:pt>
                <c:pt idx="113">
                  <c:v>0.39117397872854787</c:v>
                </c:pt>
                <c:pt idx="114">
                  <c:v>0.39650912163009178</c:v>
                </c:pt>
                <c:pt idx="115">
                  <c:v>0.4020146430361341</c:v>
                </c:pt>
                <c:pt idx="116">
                  <c:v>0.40768383531690233</c:v>
                </c:pt>
                <c:pt idx="117">
                  <c:v>0.41350979143487421</c:v>
                </c:pt>
                <c:pt idx="118">
                  <c:v>0.41948541335993994</c:v>
                </c:pt>
                <c:pt idx="119">
                  <c:v>0.42560342071725793</c:v>
                </c:pt>
                <c:pt idx="120">
                  <c:v>0.43185635965726976</c:v>
                </c:pt>
                <c:pt idx="121">
                  <c:v>0.43823661193706875</c:v>
                </c:pt>
                <c:pt idx="122">
                  <c:v>0.44473640420205424</c:v>
                </c:pt>
                <c:pt idx="123">
                  <c:v>0.45134781745656782</c:v>
                </c:pt>
                <c:pt idx="124">
                  <c:v>0.4580627967119687</c:v>
                </c:pt>
                <c:pt idx="125">
                  <c:v>0.46487316080039759</c:v>
                </c:pt>
                <c:pt idx="126">
                  <c:v>0.47177061234226914</c:v>
                </c:pt>
                <c:pt idx="127">
                  <c:v>0.47874674785535032</c:v>
                </c:pt>
                <c:pt idx="128">
                  <c:v>0.48579306799310956</c:v>
                </c:pt>
                <c:pt idx="129">
                  <c:v>0.49290098789986159</c:v>
                </c:pt>
                <c:pt idx="130">
                  <c:v>0.50006184767009132</c:v>
                </c:pt>
                <c:pt idx="131">
                  <c:v>0.5072669228992146</c:v>
                </c:pt>
                <c:pt idx="132">
                  <c:v>0.51450743531292109</c:v>
                </c:pt>
                <c:pt idx="133">
                  <c:v>0.52177456346215034</c:v>
                </c:pt>
                <c:pt idx="134">
                  <c:v>0.52905945347066785</c:v>
                </c:pt>
                <c:pt idx="135">
                  <c:v>0.53635322982214984</c:v>
                </c:pt>
                <c:pt idx="136">
                  <c:v>0.54364700617363171</c:v>
                </c:pt>
                <c:pt idx="137">
                  <c:v>0.55093189618214922</c:v>
                </c:pt>
                <c:pt idx="138">
                  <c:v>0.55819902433137858</c:v>
                </c:pt>
                <c:pt idx="139">
                  <c:v>0.56543953674508518</c:v>
                </c:pt>
                <c:pt idx="140">
                  <c:v>0.57264461197420824</c:v>
                </c:pt>
                <c:pt idx="141">
                  <c:v>0.57980547174443786</c:v>
                </c:pt>
                <c:pt idx="142">
                  <c:v>0.58691339165119005</c:v>
                </c:pt>
                <c:pt idx="143">
                  <c:v>0.59395971178894946</c:v>
                </c:pt>
                <c:pt idx="144">
                  <c:v>0.60093584730203042</c:v>
                </c:pt>
                <c:pt idx="145">
                  <c:v>0.6078332988439018</c:v>
                </c:pt>
                <c:pt idx="146">
                  <c:v>0.61464366293233086</c:v>
                </c:pt>
                <c:pt idx="147">
                  <c:v>0.62135864218773196</c:v>
                </c:pt>
                <c:pt idx="148">
                  <c:v>0.62797005544224538</c:v>
                </c:pt>
                <c:pt idx="149">
                  <c:v>0.63446984770723081</c:v>
                </c:pt>
                <c:pt idx="150">
                  <c:v>0.6408500999870298</c:v>
                </c:pt>
                <c:pt idx="151">
                  <c:v>0.64710303892704168</c:v>
                </c:pt>
                <c:pt idx="152">
                  <c:v>0.65322104628435951</c:v>
                </c:pt>
                <c:pt idx="153">
                  <c:v>0.65919666820942535</c:v>
                </c:pt>
                <c:pt idx="154">
                  <c:v>0.66502262432739745</c:v>
                </c:pt>
                <c:pt idx="155">
                  <c:v>0.67069181660816546</c:v>
                </c:pt>
                <c:pt idx="156">
                  <c:v>0.67619733801420778</c:v>
                </c:pt>
                <c:pt idx="157">
                  <c:v>0.68153248091575158</c:v>
                </c:pt>
                <c:pt idx="158">
                  <c:v>0.68669074526298723</c:v>
                </c:pt>
                <c:pt idx="159">
                  <c:v>0.6916658465053771</c:v>
                </c:pt>
                <c:pt idx="160">
                  <c:v>0.69645172324841309</c:v>
                </c:pt>
                <c:pt idx="161">
                  <c:v>0.70104254463849147</c:v>
                </c:pt>
                <c:pt idx="162">
                  <c:v>0.70543271746691039</c:v>
                </c:pt>
                <c:pt idx="163">
                  <c:v>0.70961689298433273</c:v>
                </c:pt>
                <c:pt idx="164">
                  <c:v>0.71358997341741315</c:v>
                </c:pt>
                <c:pt idx="165">
                  <c:v>0.71734711817965024</c:v>
                </c:pt>
                <c:pt idx="166">
                  <c:v>0.72088374976889502</c:v>
                </c:pt>
                <c:pt idx="167">
                  <c:v>0.72419555934433222</c:v>
                </c:pt>
                <c:pt idx="168">
                  <c:v>0.72727851197613935</c:v>
                </c:pt>
                <c:pt idx="169">
                  <c:v>0.73012885156142693</c:v>
                </c:pt>
                <c:pt idx="170">
                  <c:v>0.73274310540047161</c:v>
                </c:pt>
                <c:pt idx="171">
                  <c:v>0.73511808842766524</c:v>
                </c:pt>
                <c:pt idx="172">
                  <c:v>0.73725090709202745</c:v>
                </c:pt>
                <c:pt idx="173">
                  <c:v>0.73913896288255132</c:v>
                </c:pt>
                <c:pt idx="174">
                  <c:v>0.74077995549408848</c:v>
                </c:pt>
                <c:pt idx="175">
                  <c:v>0.74217188562991754</c:v>
                </c:pt>
                <c:pt idx="176">
                  <c:v>0.74331305743757847</c:v>
                </c:pt>
                <c:pt idx="177">
                  <c:v>0.74420208057500747</c:v>
                </c:pt>
                <c:pt idx="178">
                  <c:v>0.74483787190445516</c:v>
                </c:pt>
                <c:pt idx="179">
                  <c:v>0.74521965681212277</c:v>
                </c:pt>
                <c:pt idx="180">
                  <c:v>0.74534697015190976</c:v>
                </c:pt>
              </c:numCache>
            </c:numRef>
          </c:xVal>
          <c:yVal>
            <c:numRef>
              <c:f>circles!$C$8:$C$188</c:f>
              <c:numCache>
                <c:formatCode>General</c:formatCode>
                <c:ptCount val="181"/>
                <c:pt idx="0">
                  <c:v>0.44611534147693993</c:v>
                </c:pt>
                <c:pt idx="1">
                  <c:v>0.45340911782842175</c:v>
                </c:pt>
                <c:pt idx="2">
                  <c:v>0.46069400783693937</c:v>
                </c:pt>
                <c:pt idx="3">
                  <c:v>0.46796113598616873</c:v>
                </c:pt>
                <c:pt idx="4">
                  <c:v>0.47520164839987533</c:v>
                </c:pt>
                <c:pt idx="5">
                  <c:v>0.48240672362899839</c:v>
                </c:pt>
                <c:pt idx="6">
                  <c:v>0.48956758339922807</c:v>
                </c:pt>
                <c:pt idx="7">
                  <c:v>0.4966755033059802</c:v>
                </c:pt>
                <c:pt idx="8">
                  <c:v>0.5037218234437395</c:v>
                </c:pt>
                <c:pt idx="9">
                  <c:v>0.51069795895682057</c:v>
                </c:pt>
                <c:pt idx="10">
                  <c:v>0.51759541049869207</c:v>
                </c:pt>
                <c:pt idx="11">
                  <c:v>0.52440577458712101</c:v>
                </c:pt>
                <c:pt idx="12">
                  <c:v>0.531120753842522</c:v>
                </c:pt>
                <c:pt idx="13">
                  <c:v>0.53773216709703542</c:v>
                </c:pt>
                <c:pt idx="14">
                  <c:v>0.54423195936202096</c:v>
                </c:pt>
                <c:pt idx="15">
                  <c:v>0.55061221164181995</c:v>
                </c:pt>
                <c:pt idx="16">
                  <c:v>0.55686515058183184</c:v>
                </c:pt>
                <c:pt idx="17">
                  <c:v>0.56298315793914977</c:v>
                </c:pt>
                <c:pt idx="18">
                  <c:v>0.5689587798642155</c:v>
                </c:pt>
                <c:pt idx="19">
                  <c:v>0.57478473598218749</c:v>
                </c:pt>
                <c:pt idx="20">
                  <c:v>0.58045392826295561</c:v>
                </c:pt>
                <c:pt idx="21">
                  <c:v>0.58595944966899793</c:v>
                </c:pt>
                <c:pt idx="22">
                  <c:v>0.59129459257054173</c:v>
                </c:pt>
                <c:pt idx="23">
                  <c:v>0.59645285691777739</c:v>
                </c:pt>
                <c:pt idx="24">
                  <c:v>0.60142795816016725</c:v>
                </c:pt>
                <c:pt idx="25">
                  <c:v>0.60621383490320313</c:v>
                </c:pt>
                <c:pt idx="26">
                  <c:v>0.61080465629328162</c:v>
                </c:pt>
                <c:pt idx="27">
                  <c:v>0.61519482912170054</c:v>
                </c:pt>
                <c:pt idx="28">
                  <c:v>0.61937900463912288</c:v>
                </c:pt>
                <c:pt idx="29">
                  <c:v>0.6233520850722033</c:v>
                </c:pt>
                <c:pt idx="30">
                  <c:v>0.6271092298344404</c:v>
                </c:pt>
                <c:pt idx="31">
                  <c:v>0.63064586142368517</c:v>
                </c:pt>
                <c:pt idx="32">
                  <c:v>0.63395767099912226</c:v>
                </c:pt>
                <c:pt idx="33">
                  <c:v>0.63704062363092939</c:v>
                </c:pt>
                <c:pt idx="34">
                  <c:v>0.63989096321621708</c:v>
                </c:pt>
                <c:pt idx="35">
                  <c:v>0.64250521705526165</c:v>
                </c:pt>
                <c:pt idx="36">
                  <c:v>0.64488020008245539</c:v>
                </c:pt>
                <c:pt idx="37">
                  <c:v>0.6470130187468176</c:v>
                </c:pt>
                <c:pt idx="38">
                  <c:v>0.64890107453734136</c:v>
                </c:pt>
                <c:pt idx="39">
                  <c:v>0.65054206714887863</c:v>
                </c:pt>
                <c:pt idx="40">
                  <c:v>0.65193399728470769</c:v>
                </c:pt>
                <c:pt idx="41">
                  <c:v>0.65307516909236851</c:v>
                </c:pt>
                <c:pt idx="42">
                  <c:v>0.65396419222979751</c:v>
                </c:pt>
                <c:pt idx="43">
                  <c:v>0.6545999835592452</c:v>
                </c:pt>
                <c:pt idx="44">
                  <c:v>0.65498176846691292</c:v>
                </c:pt>
                <c:pt idx="45">
                  <c:v>0.65510908180669991</c:v>
                </c:pt>
                <c:pt idx="46">
                  <c:v>0.65498176846691292</c:v>
                </c:pt>
                <c:pt idx="47">
                  <c:v>0.6545999835592452</c:v>
                </c:pt>
                <c:pt idx="48">
                  <c:v>0.65396419222979763</c:v>
                </c:pt>
                <c:pt idx="49">
                  <c:v>0.65307516909236862</c:v>
                </c:pt>
                <c:pt idx="50">
                  <c:v>0.65193399728470769</c:v>
                </c:pt>
                <c:pt idx="51">
                  <c:v>0.65054206714887863</c:v>
                </c:pt>
                <c:pt idx="52">
                  <c:v>0.64890107453734136</c:v>
                </c:pt>
                <c:pt idx="53">
                  <c:v>0.6470130187468176</c:v>
                </c:pt>
                <c:pt idx="54">
                  <c:v>0.64488020008245539</c:v>
                </c:pt>
                <c:pt idx="55">
                  <c:v>0.64250521705526165</c:v>
                </c:pt>
                <c:pt idx="56">
                  <c:v>0.63989096321621708</c:v>
                </c:pt>
                <c:pt idx="57">
                  <c:v>0.63704062363092939</c:v>
                </c:pt>
                <c:pt idx="58">
                  <c:v>0.63395767099912226</c:v>
                </c:pt>
                <c:pt idx="59">
                  <c:v>0.63064586142368517</c:v>
                </c:pt>
                <c:pt idx="60">
                  <c:v>0.6271092298344404</c:v>
                </c:pt>
                <c:pt idx="61">
                  <c:v>0.6233520850722033</c:v>
                </c:pt>
                <c:pt idx="62">
                  <c:v>0.61937900463912288</c:v>
                </c:pt>
                <c:pt idx="63">
                  <c:v>0.61519482912170054</c:v>
                </c:pt>
                <c:pt idx="64">
                  <c:v>0.61080465629328162</c:v>
                </c:pt>
                <c:pt idx="65">
                  <c:v>0.60621383490320313</c:v>
                </c:pt>
                <c:pt idx="66">
                  <c:v>0.60142795816016725</c:v>
                </c:pt>
                <c:pt idx="67">
                  <c:v>0.59645285691777739</c:v>
                </c:pt>
                <c:pt idx="68">
                  <c:v>0.59129459257054173</c:v>
                </c:pt>
                <c:pt idx="69">
                  <c:v>0.58595944966899793</c:v>
                </c:pt>
                <c:pt idx="70">
                  <c:v>0.58045392826295572</c:v>
                </c:pt>
                <c:pt idx="71">
                  <c:v>0.57478473598218749</c:v>
                </c:pt>
                <c:pt idx="72">
                  <c:v>0.5689587798642155</c:v>
                </c:pt>
                <c:pt idx="73">
                  <c:v>0.56298315793914977</c:v>
                </c:pt>
                <c:pt idx="74">
                  <c:v>0.55686515058183184</c:v>
                </c:pt>
                <c:pt idx="75">
                  <c:v>0.55061221164181995</c:v>
                </c:pt>
                <c:pt idx="76">
                  <c:v>0.54423195936202107</c:v>
                </c:pt>
                <c:pt idx="77">
                  <c:v>0.53773216709703542</c:v>
                </c:pt>
                <c:pt idx="78">
                  <c:v>0.531120753842522</c:v>
                </c:pt>
                <c:pt idx="79">
                  <c:v>0.52440577458712101</c:v>
                </c:pt>
                <c:pt idx="80">
                  <c:v>0.51759541049869207</c:v>
                </c:pt>
                <c:pt idx="81">
                  <c:v>0.51069795895682057</c:v>
                </c:pt>
                <c:pt idx="82">
                  <c:v>0.50372182344373961</c:v>
                </c:pt>
                <c:pt idx="83">
                  <c:v>0.4966755033059802</c:v>
                </c:pt>
                <c:pt idx="84">
                  <c:v>0.48956758339922807</c:v>
                </c:pt>
                <c:pt idx="85">
                  <c:v>0.48240672362899839</c:v>
                </c:pt>
                <c:pt idx="86">
                  <c:v>0.47520164839987539</c:v>
                </c:pt>
                <c:pt idx="87">
                  <c:v>0.46796113598616879</c:v>
                </c:pt>
                <c:pt idx="88">
                  <c:v>0.46069400783693942</c:v>
                </c:pt>
                <c:pt idx="89">
                  <c:v>0.45340911782842169</c:v>
                </c:pt>
                <c:pt idx="90">
                  <c:v>0.44611534147693993</c:v>
                </c:pt>
                <c:pt idx="91">
                  <c:v>0.43882156512545817</c:v>
                </c:pt>
                <c:pt idx="92">
                  <c:v>0.4315366751169406</c:v>
                </c:pt>
                <c:pt idx="93">
                  <c:v>0.42426954696771119</c:v>
                </c:pt>
                <c:pt idx="94">
                  <c:v>0.41702903455400453</c:v>
                </c:pt>
                <c:pt idx="95">
                  <c:v>0.40982395932488147</c:v>
                </c:pt>
                <c:pt idx="96">
                  <c:v>0.40266309955465185</c:v>
                </c:pt>
                <c:pt idx="97">
                  <c:v>0.39555517964789971</c:v>
                </c:pt>
                <c:pt idx="98">
                  <c:v>0.38850885951014041</c:v>
                </c:pt>
                <c:pt idx="99">
                  <c:v>0.38153272399705923</c:v>
                </c:pt>
                <c:pt idx="100">
                  <c:v>0.37463527245518785</c:v>
                </c:pt>
                <c:pt idx="101">
                  <c:v>0.36782490836675885</c:v>
                </c:pt>
                <c:pt idx="102">
                  <c:v>0.36110992911135797</c:v>
                </c:pt>
                <c:pt idx="103">
                  <c:v>0.35449851585684444</c:v>
                </c:pt>
                <c:pt idx="104">
                  <c:v>0.34799872359185885</c:v>
                </c:pt>
                <c:pt idx="105">
                  <c:v>0.34161847131205991</c:v>
                </c:pt>
                <c:pt idx="106">
                  <c:v>0.33536553237204808</c:v>
                </c:pt>
                <c:pt idx="107">
                  <c:v>0.3292475250147302</c:v>
                </c:pt>
                <c:pt idx="108">
                  <c:v>0.32327190308966436</c:v>
                </c:pt>
                <c:pt idx="109">
                  <c:v>0.31744594697169248</c:v>
                </c:pt>
                <c:pt idx="110">
                  <c:v>0.31177675469092425</c:v>
                </c:pt>
                <c:pt idx="111">
                  <c:v>0.30627123328488193</c:v>
                </c:pt>
                <c:pt idx="112">
                  <c:v>0.30093609038333802</c:v>
                </c:pt>
                <c:pt idx="113">
                  <c:v>0.29577782603610259</c:v>
                </c:pt>
                <c:pt idx="114">
                  <c:v>0.29080272479371266</c:v>
                </c:pt>
                <c:pt idx="115">
                  <c:v>0.28601684805067673</c:v>
                </c:pt>
                <c:pt idx="116">
                  <c:v>0.28142602666059818</c:v>
                </c:pt>
                <c:pt idx="117">
                  <c:v>0.27703585383217932</c:v>
                </c:pt>
                <c:pt idx="118">
                  <c:v>0.2728516783147571</c:v>
                </c:pt>
                <c:pt idx="119">
                  <c:v>0.26887859788167656</c:v>
                </c:pt>
                <c:pt idx="120">
                  <c:v>0.26512145311943947</c:v>
                </c:pt>
                <c:pt idx="121">
                  <c:v>0.26158482153019469</c:v>
                </c:pt>
                <c:pt idx="122">
                  <c:v>0.2582730119547576</c:v>
                </c:pt>
                <c:pt idx="123">
                  <c:v>0.25519005932295047</c:v>
                </c:pt>
                <c:pt idx="124">
                  <c:v>0.25233971973766289</c:v>
                </c:pt>
                <c:pt idx="125">
                  <c:v>0.24972546589861824</c:v>
                </c:pt>
                <c:pt idx="126">
                  <c:v>0.2473504828714245</c:v>
                </c:pt>
                <c:pt idx="127">
                  <c:v>0.24521766420706223</c:v>
                </c:pt>
                <c:pt idx="128">
                  <c:v>0.24332960841653847</c:v>
                </c:pt>
                <c:pt idx="129">
                  <c:v>0.24168861580500126</c:v>
                </c:pt>
                <c:pt idx="130">
                  <c:v>0.24029668566917214</c:v>
                </c:pt>
                <c:pt idx="131">
                  <c:v>0.23915551386151129</c:v>
                </c:pt>
                <c:pt idx="132">
                  <c:v>0.23826649072408229</c:v>
                </c:pt>
                <c:pt idx="133">
                  <c:v>0.23763069939463463</c:v>
                </c:pt>
                <c:pt idx="134">
                  <c:v>0.237248914486967</c:v>
                </c:pt>
                <c:pt idx="135">
                  <c:v>0.23712160114717998</c:v>
                </c:pt>
                <c:pt idx="136">
                  <c:v>0.23724891448696697</c:v>
                </c:pt>
                <c:pt idx="137">
                  <c:v>0.2376306993946346</c:v>
                </c:pt>
                <c:pt idx="138">
                  <c:v>0.23826649072408229</c:v>
                </c:pt>
                <c:pt idx="139">
                  <c:v>0.23915551386151129</c:v>
                </c:pt>
                <c:pt idx="140">
                  <c:v>0.24029668566917212</c:v>
                </c:pt>
                <c:pt idx="141">
                  <c:v>0.2416886158050012</c:v>
                </c:pt>
                <c:pt idx="142">
                  <c:v>0.24332960841653847</c:v>
                </c:pt>
                <c:pt idx="143">
                  <c:v>0.24521766420706226</c:v>
                </c:pt>
                <c:pt idx="144">
                  <c:v>0.24735048287142447</c:v>
                </c:pt>
                <c:pt idx="145">
                  <c:v>0.24972546589861816</c:v>
                </c:pt>
                <c:pt idx="146">
                  <c:v>0.25233971973766284</c:v>
                </c:pt>
                <c:pt idx="147">
                  <c:v>0.25519005932295047</c:v>
                </c:pt>
                <c:pt idx="148">
                  <c:v>0.2582730119547576</c:v>
                </c:pt>
                <c:pt idx="149">
                  <c:v>0.26158482153019469</c:v>
                </c:pt>
                <c:pt idx="150">
                  <c:v>0.26512145311943947</c:v>
                </c:pt>
                <c:pt idx="151">
                  <c:v>0.26887859788167651</c:v>
                </c:pt>
                <c:pt idx="152">
                  <c:v>0.27285167831475693</c:v>
                </c:pt>
                <c:pt idx="153">
                  <c:v>0.27703585383217927</c:v>
                </c:pt>
                <c:pt idx="154">
                  <c:v>0.28142602666059824</c:v>
                </c:pt>
                <c:pt idx="155">
                  <c:v>0.28601684805067662</c:v>
                </c:pt>
                <c:pt idx="156">
                  <c:v>0.29080272479371255</c:v>
                </c:pt>
                <c:pt idx="157">
                  <c:v>0.29577782603610236</c:v>
                </c:pt>
                <c:pt idx="158">
                  <c:v>0.30093609038333802</c:v>
                </c:pt>
                <c:pt idx="159">
                  <c:v>0.30627123328488193</c:v>
                </c:pt>
                <c:pt idx="160">
                  <c:v>0.3117767546909242</c:v>
                </c:pt>
                <c:pt idx="161">
                  <c:v>0.31744594697169226</c:v>
                </c:pt>
                <c:pt idx="162">
                  <c:v>0.3232719030896643</c:v>
                </c:pt>
                <c:pt idx="163">
                  <c:v>0.32924752501473004</c:v>
                </c:pt>
                <c:pt idx="164">
                  <c:v>0.33536553237204786</c:v>
                </c:pt>
                <c:pt idx="165">
                  <c:v>0.34161847131205986</c:v>
                </c:pt>
                <c:pt idx="166">
                  <c:v>0.34799872359185891</c:v>
                </c:pt>
                <c:pt idx="167">
                  <c:v>0.3544985158568445</c:v>
                </c:pt>
                <c:pt idx="168">
                  <c:v>0.36110992911135786</c:v>
                </c:pt>
                <c:pt idx="169">
                  <c:v>0.3678249083667588</c:v>
                </c:pt>
                <c:pt idx="170">
                  <c:v>0.37463527245518785</c:v>
                </c:pt>
                <c:pt idx="171">
                  <c:v>0.38153272399705923</c:v>
                </c:pt>
                <c:pt idx="172">
                  <c:v>0.38850885951014025</c:v>
                </c:pt>
                <c:pt idx="173">
                  <c:v>0.39555517964789966</c:v>
                </c:pt>
                <c:pt idx="174">
                  <c:v>0.40266309955465168</c:v>
                </c:pt>
                <c:pt idx="175">
                  <c:v>0.40982395932488125</c:v>
                </c:pt>
                <c:pt idx="176">
                  <c:v>0.41702903455400447</c:v>
                </c:pt>
                <c:pt idx="177">
                  <c:v>0.42426954696771113</c:v>
                </c:pt>
                <c:pt idx="178">
                  <c:v>0.4315366751169406</c:v>
                </c:pt>
                <c:pt idx="179">
                  <c:v>0.43882156512545817</c:v>
                </c:pt>
                <c:pt idx="180">
                  <c:v>0.44611534147693988</c:v>
                </c:pt>
              </c:numCache>
            </c:numRef>
          </c:yVal>
        </c:ser>
        <c:ser>
          <c:idx val="3"/>
          <c:order val="3"/>
          <c:tx>
            <c:v>avrg distance 6</c:v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circles!$F$8:$F$188</c:f>
              <c:numCache>
                <c:formatCode>General</c:formatCode>
                <c:ptCount val="181"/>
                <c:pt idx="0">
                  <c:v>0.84699032547372255</c:v>
                </c:pt>
                <c:pt idx="1">
                  <c:v>0.84685234561690226</c:v>
                </c:pt>
                <c:pt idx="2">
                  <c:v>0.84643857415364243</c:v>
                </c:pt>
                <c:pt idx="3">
                  <c:v>0.8457495152007346</c:v>
                </c:pt>
                <c:pt idx="4">
                  <c:v>0.84478600827037154</c:v>
                </c:pt>
                <c:pt idx="5">
                  <c:v>0.84354922724733095</c:v>
                </c:pt>
                <c:pt idx="6">
                  <c:v>0.84204067895877788</c:v>
                </c:pt>
                <c:pt idx="7">
                  <c:v>0.84026220133842788</c:v>
                </c:pt>
                <c:pt idx="8">
                  <c:v>0.8382159611873079</c:v>
                </c:pt>
                <c:pt idx="9">
                  <c:v>0.83590445153384296</c:v>
                </c:pt>
                <c:pt idx="10">
                  <c:v>0.83333048859648506</c:v>
                </c:pt>
                <c:pt idx="11">
                  <c:v>0.83049720835258467</c:v>
                </c:pt>
                <c:pt idx="12">
                  <c:v>0.82740806271768574</c:v>
                </c:pt>
                <c:pt idx="13">
                  <c:v>0.8240668153398979</c:v>
                </c:pt>
                <c:pt idx="14">
                  <c:v>0.82047753701447135</c:v>
                </c:pt>
                <c:pt idx="15">
                  <c:v>0.81664460072415967</c:v>
                </c:pt>
                <c:pt idx="16">
                  <c:v>0.81257267631141394</c:v>
                </c:pt>
                <c:pt idx="17">
                  <c:v>0.80826672478889927</c:v>
                </c:pt>
                <c:pt idx="18">
                  <c:v>0.80373199229526504</c:v>
                </c:pt>
                <c:pt idx="19">
                  <c:v>0.79897400370353244</c:v>
                </c:pt>
                <c:pt idx="20">
                  <c:v>0.79399855588988877</c:v>
                </c:pt>
                <c:pt idx="21">
                  <c:v>0.7888117106710858</c:v>
                </c:pt>
                <c:pt idx="22">
                  <c:v>0.7834197874190505</c:v>
                </c:pt>
                <c:pt idx="23">
                  <c:v>0.77782935536170328</c:v>
                </c:pt>
                <c:pt idx="24">
                  <c:v>0.77204722557936623</c:v>
                </c:pt>
                <c:pt idx="25">
                  <c:v>0.76608044270650988</c:v>
                </c:pt>
                <c:pt idx="26">
                  <c:v>0.75993627634895278</c:v>
                </c:pt>
                <c:pt idx="27">
                  <c:v>0.75362221222696502</c:v>
                </c:pt>
                <c:pt idx="28">
                  <c:v>0.74714594305507243</c:v>
                </c:pt>
                <c:pt idx="29">
                  <c:v>0.74051535916966815</c:v>
                </c:pt>
                <c:pt idx="30">
                  <c:v>0.73373853891585328</c:v>
                </c:pt>
                <c:pt idx="31">
                  <c:v>0.72682373880521811</c:v>
                </c:pt>
                <c:pt idx="32">
                  <c:v>0.71977938345655401</c:v>
                </c:pt>
                <c:pt idx="33">
                  <c:v>0.71261405533175359</c:v>
                </c:pt>
                <c:pt idx="34">
                  <c:v>0.70533648427940276</c:v>
                </c:pt>
                <c:pt idx="35">
                  <c:v>0.69795553689880507</c:v>
                </c:pt>
                <c:pt idx="36">
                  <c:v>0.69048020573739566</c:v>
                </c:pt>
                <c:pt idx="37">
                  <c:v>0.6829195983347085</c:v>
                </c:pt>
                <c:pt idx="38">
                  <c:v>0.67528292612624141</c:v>
                </c:pt>
                <c:pt idx="39">
                  <c:v>0.66757949322074117</c:v>
                </c:pt>
                <c:pt idx="40">
                  <c:v>0.6598186850645803</c:v>
                </c:pt>
                <c:pt idx="41">
                  <c:v>0.65200995700703634</c:v>
                </c:pt>
                <c:pt idx="42">
                  <c:v>0.64416282278040471</c:v>
                </c:pt>
                <c:pt idx="43">
                  <c:v>0.63628684290898263</c:v>
                </c:pt>
                <c:pt idx="44">
                  <c:v>0.62839161306104141</c:v>
                </c:pt>
                <c:pt idx="45">
                  <c:v>0.62048675235798401</c:v>
                </c:pt>
                <c:pt idx="46">
                  <c:v>0.6125818916549266</c:v>
                </c:pt>
                <c:pt idx="47">
                  <c:v>0.60468666180698538</c:v>
                </c:pt>
                <c:pt idx="48">
                  <c:v>0.5968106819355633</c:v>
                </c:pt>
                <c:pt idx="49">
                  <c:v>0.58896354770893178</c:v>
                </c:pt>
                <c:pt idx="50">
                  <c:v>0.58115481965138771</c:v>
                </c:pt>
                <c:pt idx="51">
                  <c:v>0.57339401149522684</c:v>
                </c:pt>
                <c:pt idx="52">
                  <c:v>0.5656905785897266</c:v>
                </c:pt>
                <c:pt idx="53">
                  <c:v>0.55805390638125951</c:v>
                </c:pt>
                <c:pt idx="54">
                  <c:v>0.55049329897857235</c:v>
                </c:pt>
                <c:pt idx="55">
                  <c:v>0.54301796781716305</c:v>
                </c:pt>
                <c:pt idx="56">
                  <c:v>0.53563702043656525</c:v>
                </c:pt>
                <c:pt idx="57">
                  <c:v>0.52835944938421442</c:v>
                </c:pt>
                <c:pt idx="58">
                  <c:v>0.521194121259414</c:v>
                </c:pt>
                <c:pt idx="59">
                  <c:v>0.51414976591075001</c:v>
                </c:pt>
                <c:pt idx="60">
                  <c:v>0.50723496580011473</c:v>
                </c:pt>
                <c:pt idx="61">
                  <c:v>0.50045814554629986</c:v>
                </c:pt>
                <c:pt idx="62">
                  <c:v>0.49382756166089559</c:v>
                </c:pt>
                <c:pt idx="63">
                  <c:v>0.487351292489003</c:v>
                </c:pt>
                <c:pt idx="64">
                  <c:v>0.48103722836701523</c:v>
                </c:pt>
                <c:pt idx="65">
                  <c:v>0.47489306200945813</c:v>
                </c:pt>
                <c:pt idx="66">
                  <c:v>0.46892627913660184</c:v>
                </c:pt>
                <c:pt idx="67">
                  <c:v>0.46314414935426473</c:v>
                </c:pt>
                <c:pt idx="68">
                  <c:v>0.45755371729691752</c:v>
                </c:pt>
                <c:pt idx="69">
                  <c:v>0.45216179404488233</c:v>
                </c:pt>
                <c:pt idx="70">
                  <c:v>0.44697494882607935</c:v>
                </c:pt>
                <c:pt idx="71">
                  <c:v>0.44199950101243557</c:v>
                </c:pt>
                <c:pt idx="72">
                  <c:v>0.43724151242070303</c:v>
                </c:pt>
                <c:pt idx="73">
                  <c:v>0.43270677992706869</c:v>
                </c:pt>
                <c:pt idx="74">
                  <c:v>0.42840082840455407</c:v>
                </c:pt>
                <c:pt idx="75">
                  <c:v>0.42432890399180834</c:v>
                </c:pt>
                <c:pt idx="76">
                  <c:v>0.42049596770149666</c:v>
                </c:pt>
                <c:pt idx="77">
                  <c:v>0.41690668937607012</c:v>
                </c:pt>
                <c:pt idx="78">
                  <c:v>0.41356544199828227</c:v>
                </c:pt>
                <c:pt idx="79">
                  <c:v>0.41047629636338334</c:v>
                </c:pt>
                <c:pt idx="80">
                  <c:v>0.407643016119483</c:v>
                </c:pt>
                <c:pt idx="81">
                  <c:v>0.40506905318212505</c:v>
                </c:pt>
                <c:pt idx="82">
                  <c:v>0.40275754352866017</c:v>
                </c:pt>
                <c:pt idx="83">
                  <c:v>0.40071130337754013</c:v>
                </c:pt>
                <c:pt idx="84">
                  <c:v>0.39893282575719013</c:v>
                </c:pt>
                <c:pt idx="85">
                  <c:v>0.39742427746863707</c:v>
                </c:pt>
                <c:pt idx="86">
                  <c:v>0.39618749644559648</c:v>
                </c:pt>
                <c:pt idx="87">
                  <c:v>0.39522398951523341</c:v>
                </c:pt>
                <c:pt idx="88">
                  <c:v>0.39453493056232558</c:v>
                </c:pt>
                <c:pt idx="89">
                  <c:v>0.39412115909906575</c:v>
                </c:pt>
                <c:pt idx="90">
                  <c:v>0.39398317924224541</c:v>
                </c:pt>
                <c:pt idx="91">
                  <c:v>0.39412115909906575</c:v>
                </c:pt>
                <c:pt idx="92">
                  <c:v>0.39453493056232558</c:v>
                </c:pt>
                <c:pt idx="93">
                  <c:v>0.39522398951523335</c:v>
                </c:pt>
                <c:pt idx="94">
                  <c:v>0.39618749644559648</c:v>
                </c:pt>
                <c:pt idx="95">
                  <c:v>0.39742427746863707</c:v>
                </c:pt>
                <c:pt idx="96">
                  <c:v>0.39893282575719013</c:v>
                </c:pt>
                <c:pt idx="97">
                  <c:v>0.40071130337754013</c:v>
                </c:pt>
                <c:pt idx="98">
                  <c:v>0.40275754352866011</c:v>
                </c:pt>
                <c:pt idx="99">
                  <c:v>0.40506905318212505</c:v>
                </c:pt>
                <c:pt idx="100">
                  <c:v>0.40764301611948295</c:v>
                </c:pt>
                <c:pt idx="101">
                  <c:v>0.41047629636338334</c:v>
                </c:pt>
                <c:pt idx="102">
                  <c:v>0.41356544199828227</c:v>
                </c:pt>
                <c:pt idx="103">
                  <c:v>0.41690668937607006</c:v>
                </c:pt>
                <c:pt idx="104">
                  <c:v>0.42049596770149666</c:v>
                </c:pt>
                <c:pt idx="105">
                  <c:v>0.42432890399180834</c:v>
                </c:pt>
                <c:pt idx="106">
                  <c:v>0.42840082840455407</c:v>
                </c:pt>
                <c:pt idx="107">
                  <c:v>0.43270677992706863</c:v>
                </c:pt>
                <c:pt idx="108">
                  <c:v>0.43724151242070297</c:v>
                </c:pt>
                <c:pt idx="109">
                  <c:v>0.44199950101243551</c:v>
                </c:pt>
                <c:pt idx="110">
                  <c:v>0.4469749488260793</c:v>
                </c:pt>
                <c:pt idx="111">
                  <c:v>0.45216179404488221</c:v>
                </c:pt>
                <c:pt idx="112">
                  <c:v>0.45755371729691752</c:v>
                </c:pt>
                <c:pt idx="113">
                  <c:v>0.46314414935426462</c:v>
                </c:pt>
                <c:pt idx="114">
                  <c:v>0.46892627913660179</c:v>
                </c:pt>
                <c:pt idx="115">
                  <c:v>0.47489306200945808</c:v>
                </c:pt>
                <c:pt idx="116">
                  <c:v>0.48103722836701535</c:v>
                </c:pt>
                <c:pt idx="117">
                  <c:v>0.48735129248900294</c:v>
                </c:pt>
                <c:pt idx="118">
                  <c:v>0.49382756166089548</c:v>
                </c:pt>
                <c:pt idx="119">
                  <c:v>0.50045814554629986</c:v>
                </c:pt>
                <c:pt idx="120">
                  <c:v>0.50723496580011462</c:v>
                </c:pt>
                <c:pt idx="121">
                  <c:v>0.5141497659107499</c:v>
                </c:pt>
                <c:pt idx="122">
                  <c:v>0.521194121259414</c:v>
                </c:pt>
                <c:pt idx="123">
                  <c:v>0.52835944938421442</c:v>
                </c:pt>
                <c:pt idx="124">
                  <c:v>0.53563702043656514</c:v>
                </c:pt>
                <c:pt idx="125">
                  <c:v>0.54301796781716283</c:v>
                </c:pt>
                <c:pt idx="126">
                  <c:v>0.55049329897857224</c:v>
                </c:pt>
                <c:pt idx="127">
                  <c:v>0.55805390638125951</c:v>
                </c:pt>
                <c:pt idx="128">
                  <c:v>0.5656905785897266</c:v>
                </c:pt>
                <c:pt idx="129">
                  <c:v>0.57339401149522673</c:v>
                </c:pt>
                <c:pt idx="130">
                  <c:v>0.58115481965138771</c:v>
                </c:pt>
                <c:pt idx="131">
                  <c:v>0.58896354770893189</c:v>
                </c:pt>
                <c:pt idx="132">
                  <c:v>0.5968106819355633</c:v>
                </c:pt>
                <c:pt idx="133">
                  <c:v>0.60468666180698538</c:v>
                </c:pt>
                <c:pt idx="134">
                  <c:v>0.61258189165492649</c:v>
                </c:pt>
                <c:pt idx="135">
                  <c:v>0.62048675235798401</c:v>
                </c:pt>
                <c:pt idx="136">
                  <c:v>0.62839161306104152</c:v>
                </c:pt>
                <c:pt idx="137">
                  <c:v>0.63628684290898252</c:v>
                </c:pt>
                <c:pt idx="138">
                  <c:v>0.6441628227804046</c:v>
                </c:pt>
                <c:pt idx="139">
                  <c:v>0.65200995700703623</c:v>
                </c:pt>
                <c:pt idx="140">
                  <c:v>0.65981868506458019</c:v>
                </c:pt>
                <c:pt idx="141">
                  <c:v>0.66757949322074106</c:v>
                </c:pt>
                <c:pt idx="142">
                  <c:v>0.67528292612624141</c:v>
                </c:pt>
                <c:pt idx="143">
                  <c:v>0.68291959833470861</c:v>
                </c:pt>
                <c:pt idx="144">
                  <c:v>0.69048020573739566</c:v>
                </c:pt>
                <c:pt idx="145">
                  <c:v>0.69795553689880485</c:v>
                </c:pt>
                <c:pt idx="146">
                  <c:v>0.70533648427940276</c:v>
                </c:pt>
                <c:pt idx="147">
                  <c:v>0.7126140553317537</c:v>
                </c:pt>
                <c:pt idx="148">
                  <c:v>0.71977938345655401</c:v>
                </c:pt>
                <c:pt idx="149">
                  <c:v>0.726823738805218</c:v>
                </c:pt>
                <c:pt idx="150">
                  <c:v>0.73373853891585328</c:v>
                </c:pt>
                <c:pt idx="151">
                  <c:v>0.74051535916966804</c:v>
                </c:pt>
                <c:pt idx="152">
                  <c:v>0.74714594305507231</c:v>
                </c:pt>
                <c:pt idx="153">
                  <c:v>0.75362221222696502</c:v>
                </c:pt>
                <c:pt idx="154">
                  <c:v>0.75993627634895278</c:v>
                </c:pt>
                <c:pt idx="155">
                  <c:v>0.76608044270650988</c:v>
                </c:pt>
                <c:pt idx="156">
                  <c:v>0.772047225579366</c:v>
                </c:pt>
                <c:pt idx="157">
                  <c:v>0.77782935536170317</c:v>
                </c:pt>
                <c:pt idx="158">
                  <c:v>0.78341978741905038</c:v>
                </c:pt>
                <c:pt idx="159">
                  <c:v>0.7888117106710858</c:v>
                </c:pt>
                <c:pt idx="160">
                  <c:v>0.79399855588988866</c:v>
                </c:pt>
                <c:pt idx="161">
                  <c:v>0.79897400370353233</c:v>
                </c:pt>
                <c:pt idx="162">
                  <c:v>0.80373199229526504</c:v>
                </c:pt>
                <c:pt idx="163">
                  <c:v>0.80826672478889927</c:v>
                </c:pt>
                <c:pt idx="164">
                  <c:v>0.81257267631141383</c:v>
                </c:pt>
                <c:pt idx="165">
                  <c:v>0.81664460072415956</c:v>
                </c:pt>
                <c:pt idx="166">
                  <c:v>0.82047753701447135</c:v>
                </c:pt>
                <c:pt idx="167">
                  <c:v>0.82406681533989801</c:v>
                </c:pt>
                <c:pt idx="168">
                  <c:v>0.82740806271768574</c:v>
                </c:pt>
                <c:pt idx="169">
                  <c:v>0.83049720835258467</c:v>
                </c:pt>
                <c:pt idx="170">
                  <c:v>0.83333048859648506</c:v>
                </c:pt>
                <c:pt idx="171">
                  <c:v>0.83590445153384296</c:v>
                </c:pt>
                <c:pt idx="172">
                  <c:v>0.8382159611873079</c:v>
                </c:pt>
                <c:pt idx="173">
                  <c:v>0.84026220133842788</c:v>
                </c:pt>
                <c:pt idx="174">
                  <c:v>0.84204067895877777</c:v>
                </c:pt>
                <c:pt idx="175">
                  <c:v>0.84354922724733084</c:v>
                </c:pt>
                <c:pt idx="176">
                  <c:v>0.84478600827037154</c:v>
                </c:pt>
                <c:pt idx="177">
                  <c:v>0.8457495152007346</c:v>
                </c:pt>
                <c:pt idx="178">
                  <c:v>0.84643857415364243</c:v>
                </c:pt>
                <c:pt idx="179">
                  <c:v>0.84685234561690226</c:v>
                </c:pt>
                <c:pt idx="180">
                  <c:v>0.84699032547372255</c:v>
                </c:pt>
              </c:numCache>
            </c:numRef>
          </c:xVal>
          <c:yVal>
            <c:numRef>
              <c:f>circles!$G$8:$G$188</c:f>
              <c:numCache>
                <c:formatCode>General</c:formatCode>
                <c:ptCount val="181"/>
                <c:pt idx="0">
                  <c:v>0.7004617663937085</c:v>
                </c:pt>
                <c:pt idx="1">
                  <c:v>0.7083666270967659</c:v>
                </c:pt>
                <c:pt idx="2">
                  <c:v>0.71626185694470712</c:v>
                </c:pt>
                <c:pt idx="3">
                  <c:v>0.7241378368161292</c:v>
                </c:pt>
                <c:pt idx="4">
                  <c:v>0.73198497104276072</c:v>
                </c:pt>
                <c:pt idx="5">
                  <c:v>0.73979369910030479</c:v>
                </c:pt>
                <c:pt idx="6">
                  <c:v>0.74755450725646566</c:v>
                </c:pt>
                <c:pt idx="7">
                  <c:v>0.7552579401619659</c:v>
                </c:pt>
                <c:pt idx="8">
                  <c:v>0.76289461237043299</c:v>
                </c:pt>
                <c:pt idx="9">
                  <c:v>0.77045521977312015</c:v>
                </c:pt>
                <c:pt idx="10">
                  <c:v>0.77793055093452945</c:v>
                </c:pt>
                <c:pt idx="11">
                  <c:v>0.78531149831512725</c:v>
                </c:pt>
                <c:pt idx="12">
                  <c:v>0.79258906936747808</c:v>
                </c:pt>
                <c:pt idx="13">
                  <c:v>0.7997543974922785</c:v>
                </c:pt>
                <c:pt idx="14">
                  <c:v>0.8067987528409426</c:v>
                </c:pt>
                <c:pt idx="15">
                  <c:v>0.81371355295157777</c:v>
                </c:pt>
                <c:pt idx="16">
                  <c:v>0.82049037320539264</c:v>
                </c:pt>
                <c:pt idx="17">
                  <c:v>0.82712095709079692</c:v>
                </c:pt>
                <c:pt idx="18">
                  <c:v>0.83359722626268951</c:v>
                </c:pt>
                <c:pt idx="19">
                  <c:v>0.83991129038467727</c:v>
                </c:pt>
                <c:pt idx="20">
                  <c:v>0.84605545674223437</c:v>
                </c:pt>
                <c:pt idx="21">
                  <c:v>0.85202223961509072</c:v>
                </c:pt>
                <c:pt idx="22">
                  <c:v>0.85780436939742777</c:v>
                </c:pt>
                <c:pt idx="23">
                  <c:v>0.86339480145477498</c:v>
                </c:pt>
                <c:pt idx="24">
                  <c:v>0.86878672470681018</c:v>
                </c:pt>
                <c:pt idx="25">
                  <c:v>0.87397356992561326</c:v>
                </c:pt>
                <c:pt idx="26">
                  <c:v>0.87894901773925693</c:v>
                </c:pt>
                <c:pt idx="27">
                  <c:v>0.88370700633098953</c:v>
                </c:pt>
                <c:pt idx="28">
                  <c:v>0.88824173882462387</c:v>
                </c:pt>
                <c:pt idx="29">
                  <c:v>0.89254769034713843</c:v>
                </c:pt>
                <c:pt idx="30">
                  <c:v>0.89661961475988416</c:v>
                </c:pt>
                <c:pt idx="31">
                  <c:v>0.90045255105019584</c:v>
                </c:pt>
                <c:pt idx="32">
                  <c:v>0.90404182937562239</c:v>
                </c:pt>
                <c:pt idx="33">
                  <c:v>0.90738307675341023</c:v>
                </c:pt>
                <c:pt idx="34">
                  <c:v>0.91047222238830916</c:v>
                </c:pt>
                <c:pt idx="35">
                  <c:v>0.91330550263220944</c:v>
                </c:pt>
                <c:pt idx="36">
                  <c:v>0.91587946556956745</c:v>
                </c:pt>
                <c:pt idx="37">
                  <c:v>0.91819097522303239</c:v>
                </c:pt>
                <c:pt idx="38">
                  <c:v>0.92023721537415237</c:v>
                </c:pt>
                <c:pt idx="39">
                  <c:v>0.92201569299450226</c:v>
                </c:pt>
                <c:pt idx="40">
                  <c:v>0.92352424128305544</c:v>
                </c:pt>
                <c:pt idx="41">
                  <c:v>0.92476102230609603</c:v>
                </c:pt>
                <c:pt idx="42">
                  <c:v>0.92572452923645909</c:v>
                </c:pt>
                <c:pt idx="43">
                  <c:v>0.92641358818936692</c:v>
                </c:pt>
                <c:pt idx="44">
                  <c:v>0.92682735965262675</c:v>
                </c:pt>
                <c:pt idx="45">
                  <c:v>0.92696533950944704</c:v>
                </c:pt>
                <c:pt idx="46">
                  <c:v>0.92682735965262675</c:v>
                </c:pt>
                <c:pt idx="47">
                  <c:v>0.92641358818936692</c:v>
                </c:pt>
                <c:pt idx="48">
                  <c:v>0.92572452923645909</c:v>
                </c:pt>
                <c:pt idx="49">
                  <c:v>0.92476102230609603</c:v>
                </c:pt>
                <c:pt idx="50">
                  <c:v>0.92352424128305544</c:v>
                </c:pt>
                <c:pt idx="51">
                  <c:v>0.92201569299450237</c:v>
                </c:pt>
                <c:pt idx="52">
                  <c:v>0.92023721537415237</c:v>
                </c:pt>
                <c:pt idx="53">
                  <c:v>0.91819097522303239</c:v>
                </c:pt>
                <c:pt idx="54">
                  <c:v>0.91587946556956745</c:v>
                </c:pt>
                <c:pt idx="55">
                  <c:v>0.91330550263220955</c:v>
                </c:pt>
                <c:pt idx="56">
                  <c:v>0.91047222238830916</c:v>
                </c:pt>
                <c:pt idx="57">
                  <c:v>0.90738307675341023</c:v>
                </c:pt>
                <c:pt idx="58">
                  <c:v>0.90404182937562239</c:v>
                </c:pt>
                <c:pt idx="59">
                  <c:v>0.90045255105019595</c:v>
                </c:pt>
                <c:pt idx="60">
                  <c:v>0.89661961475988416</c:v>
                </c:pt>
                <c:pt idx="61">
                  <c:v>0.89254769034713843</c:v>
                </c:pt>
                <c:pt idx="62">
                  <c:v>0.88824173882462387</c:v>
                </c:pt>
                <c:pt idx="63">
                  <c:v>0.88370700633098953</c:v>
                </c:pt>
                <c:pt idx="64">
                  <c:v>0.87894901773925693</c:v>
                </c:pt>
                <c:pt idx="65">
                  <c:v>0.87397356992561326</c:v>
                </c:pt>
                <c:pt idx="66">
                  <c:v>0.86878672470681029</c:v>
                </c:pt>
                <c:pt idx="67">
                  <c:v>0.86339480145477498</c:v>
                </c:pt>
                <c:pt idx="68">
                  <c:v>0.85780436939742777</c:v>
                </c:pt>
                <c:pt idx="69">
                  <c:v>0.85202223961509072</c:v>
                </c:pt>
                <c:pt idx="70">
                  <c:v>0.84605545674223448</c:v>
                </c:pt>
                <c:pt idx="71">
                  <c:v>0.83991129038467727</c:v>
                </c:pt>
                <c:pt idx="72">
                  <c:v>0.83359722626268962</c:v>
                </c:pt>
                <c:pt idx="73">
                  <c:v>0.82712095709079692</c:v>
                </c:pt>
                <c:pt idx="74">
                  <c:v>0.82049037320539264</c:v>
                </c:pt>
                <c:pt idx="75">
                  <c:v>0.81371355295157777</c:v>
                </c:pt>
                <c:pt idx="76">
                  <c:v>0.8067987528409426</c:v>
                </c:pt>
                <c:pt idx="77">
                  <c:v>0.7997543974922785</c:v>
                </c:pt>
                <c:pt idx="78">
                  <c:v>0.79258906936747819</c:v>
                </c:pt>
                <c:pt idx="79">
                  <c:v>0.78531149831512737</c:v>
                </c:pt>
                <c:pt idx="80">
                  <c:v>0.77793055093452956</c:v>
                </c:pt>
                <c:pt idx="81">
                  <c:v>0.77045521977312026</c:v>
                </c:pt>
                <c:pt idx="82">
                  <c:v>0.7628946123704331</c:v>
                </c:pt>
                <c:pt idx="83">
                  <c:v>0.7552579401619659</c:v>
                </c:pt>
                <c:pt idx="84">
                  <c:v>0.74755450725646566</c:v>
                </c:pt>
                <c:pt idx="85">
                  <c:v>0.73979369910030479</c:v>
                </c:pt>
                <c:pt idx="86">
                  <c:v>0.73198497104276083</c:v>
                </c:pt>
                <c:pt idx="87">
                  <c:v>0.72413783681612931</c:v>
                </c:pt>
                <c:pt idx="88">
                  <c:v>0.71626185694470712</c:v>
                </c:pt>
                <c:pt idx="89">
                  <c:v>0.70836662709676579</c:v>
                </c:pt>
                <c:pt idx="90">
                  <c:v>0.7004617663937085</c:v>
                </c:pt>
                <c:pt idx="91">
                  <c:v>0.69255690569065109</c:v>
                </c:pt>
                <c:pt idx="92">
                  <c:v>0.68466167584270998</c:v>
                </c:pt>
                <c:pt idx="93">
                  <c:v>0.67678569597128779</c:v>
                </c:pt>
                <c:pt idx="94">
                  <c:v>0.66893856174465627</c:v>
                </c:pt>
                <c:pt idx="95">
                  <c:v>0.66112983368711209</c:v>
                </c:pt>
                <c:pt idx="96">
                  <c:v>0.65336902553095133</c:v>
                </c:pt>
                <c:pt idx="97">
                  <c:v>0.64566559262545109</c:v>
                </c:pt>
                <c:pt idx="98">
                  <c:v>0.638028920416984</c:v>
                </c:pt>
                <c:pt idx="99">
                  <c:v>0.63046831301429673</c:v>
                </c:pt>
                <c:pt idx="100">
                  <c:v>0.62299298185288754</c:v>
                </c:pt>
                <c:pt idx="101">
                  <c:v>0.61561203447228974</c:v>
                </c:pt>
                <c:pt idx="102">
                  <c:v>0.60833446341993902</c:v>
                </c:pt>
                <c:pt idx="103">
                  <c:v>0.6011691352951386</c:v>
                </c:pt>
                <c:pt idx="104">
                  <c:v>0.59412477994647439</c:v>
                </c:pt>
                <c:pt idx="105">
                  <c:v>0.58720997983583922</c:v>
                </c:pt>
                <c:pt idx="106">
                  <c:v>0.58043315958202435</c:v>
                </c:pt>
                <c:pt idx="107">
                  <c:v>0.57380257569662008</c:v>
                </c:pt>
                <c:pt idx="108">
                  <c:v>0.56732630652472749</c:v>
                </c:pt>
                <c:pt idx="109">
                  <c:v>0.56101224240273984</c:v>
                </c:pt>
                <c:pt idx="110">
                  <c:v>0.55486807604518262</c:v>
                </c:pt>
                <c:pt idx="111">
                  <c:v>0.54890129317232628</c:v>
                </c:pt>
                <c:pt idx="112">
                  <c:v>0.54311916338998922</c:v>
                </c:pt>
                <c:pt idx="113">
                  <c:v>0.53752873133264212</c:v>
                </c:pt>
                <c:pt idx="114">
                  <c:v>0.53213680808060682</c:v>
                </c:pt>
                <c:pt idx="115">
                  <c:v>0.52694996286180384</c:v>
                </c:pt>
                <c:pt idx="116">
                  <c:v>0.52197451504816006</c:v>
                </c:pt>
                <c:pt idx="117">
                  <c:v>0.51721652645642746</c:v>
                </c:pt>
                <c:pt idx="118">
                  <c:v>0.51268179396279323</c:v>
                </c:pt>
                <c:pt idx="119">
                  <c:v>0.50837584244027856</c:v>
                </c:pt>
                <c:pt idx="120">
                  <c:v>0.50430391802753294</c:v>
                </c:pt>
                <c:pt idx="121">
                  <c:v>0.50047098173722115</c:v>
                </c:pt>
                <c:pt idx="122">
                  <c:v>0.49688170341179461</c:v>
                </c:pt>
                <c:pt idx="123">
                  <c:v>0.49354045603400676</c:v>
                </c:pt>
                <c:pt idx="124">
                  <c:v>0.49045131039910783</c:v>
                </c:pt>
                <c:pt idx="125">
                  <c:v>0.48761803015520755</c:v>
                </c:pt>
                <c:pt idx="126">
                  <c:v>0.48504406721784954</c:v>
                </c:pt>
                <c:pt idx="127">
                  <c:v>0.4827325575643846</c:v>
                </c:pt>
                <c:pt idx="128">
                  <c:v>0.48068631741326462</c:v>
                </c:pt>
                <c:pt idx="129">
                  <c:v>0.47890783979291468</c:v>
                </c:pt>
                <c:pt idx="130">
                  <c:v>0.47739929150436156</c:v>
                </c:pt>
                <c:pt idx="131">
                  <c:v>0.47616251048132097</c:v>
                </c:pt>
                <c:pt idx="132">
                  <c:v>0.47519900355095784</c:v>
                </c:pt>
                <c:pt idx="133">
                  <c:v>0.47450994459805007</c:v>
                </c:pt>
                <c:pt idx="134">
                  <c:v>0.4740961731347903</c:v>
                </c:pt>
                <c:pt idx="135">
                  <c:v>0.4739581932779699</c:v>
                </c:pt>
                <c:pt idx="136">
                  <c:v>0.47409617313479024</c:v>
                </c:pt>
                <c:pt idx="137">
                  <c:v>0.47450994459805007</c:v>
                </c:pt>
                <c:pt idx="138">
                  <c:v>0.47519900355095784</c:v>
                </c:pt>
                <c:pt idx="139">
                  <c:v>0.47616251048132097</c:v>
                </c:pt>
                <c:pt idx="140">
                  <c:v>0.47739929150436156</c:v>
                </c:pt>
                <c:pt idx="141">
                  <c:v>0.47890783979291462</c:v>
                </c:pt>
                <c:pt idx="142">
                  <c:v>0.48068631741326462</c:v>
                </c:pt>
                <c:pt idx="143">
                  <c:v>0.4827325575643846</c:v>
                </c:pt>
                <c:pt idx="144">
                  <c:v>0.48504406721784954</c:v>
                </c:pt>
                <c:pt idx="145">
                  <c:v>0.48761803015520744</c:v>
                </c:pt>
                <c:pt idx="146">
                  <c:v>0.49045131039910783</c:v>
                </c:pt>
                <c:pt idx="147">
                  <c:v>0.49354045603400676</c:v>
                </c:pt>
                <c:pt idx="148">
                  <c:v>0.49688170341179461</c:v>
                </c:pt>
                <c:pt idx="149">
                  <c:v>0.50047098173722104</c:v>
                </c:pt>
                <c:pt idx="150">
                  <c:v>0.50430391802753283</c:v>
                </c:pt>
                <c:pt idx="151">
                  <c:v>0.50837584244027845</c:v>
                </c:pt>
                <c:pt idx="152">
                  <c:v>0.51268179396279312</c:v>
                </c:pt>
                <c:pt idx="153">
                  <c:v>0.51721652645642746</c:v>
                </c:pt>
                <c:pt idx="154">
                  <c:v>0.52197451504816006</c:v>
                </c:pt>
                <c:pt idx="155">
                  <c:v>0.52694996286180373</c:v>
                </c:pt>
                <c:pt idx="156">
                  <c:v>0.53213680808060659</c:v>
                </c:pt>
                <c:pt idx="157">
                  <c:v>0.5375287313326419</c:v>
                </c:pt>
                <c:pt idx="158">
                  <c:v>0.54311916338998911</c:v>
                </c:pt>
                <c:pt idx="159">
                  <c:v>0.54890129317232639</c:v>
                </c:pt>
                <c:pt idx="160">
                  <c:v>0.55486807604518251</c:v>
                </c:pt>
                <c:pt idx="161">
                  <c:v>0.56101224240273961</c:v>
                </c:pt>
                <c:pt idx="162">
                  <c:v>0.56732630652472738</c:v>
                </c:pt>
                <c:pt idx="163">
                  <c:v>0.57380257569661985</c:v>
                </c:pt>
                <c:pt idx="164">
                  <c:v>0.58043315958202413</c:v>
                </c:pt>
                <c:pt idx="165">
                  <c:v>0.58720997983583911</c:v>
                </c:pt>
                <c:pt idx="166">
                  <c:v>0.59412477994647439</c:v>
                </c:pt>
                <c:pt idx="167">
                  <c:v>0.6011691352951386</c:v>
                </c:pt>
                <c:pt idx="168">
                  <c:v>0.60833446341993891</c:v>
                </c:pt>
                <c:pt idx="169">
                  <c:v>0.61561203447228963</c:v>
                </c:pt>
                <c:pt idx="170">
                  <c:v>0.62299298185288754</c:v>
                </c:pt>
                <c:pt idx="171">
                  <c:v>0.63046831301429673</c:v>
                </c:pt>
                <c:pt idx="172">
                  <c:v>0.63802892041698378</c:v>
                </c:pt>
                <c:pt idx="173">
                  <c:v>0.64566559262545109</c:v>
                </c:pt>
                <c:pt idx="174">
                  <c:v>0.65336902553095122</c:v>
                </c:pt>
                <c:pt idx="175">
                  <c:v>0.66112983368711198</c:v>
                </c:pt>
                <c:pt idx="176">
                  <c:v>0.66893856174465616</c:v>
                </c:pt>
                <c:pt idx="177">
                  <c:v>0.67678569597128779</c:v>
                </c:pt>
                <c:pt idx="178">
                  <c:v>0.68466167584270998</c:v>
                </c:pt>
                <c:pt idx="179">
                  <c:v>0.69255690569065109</c:v>
                </c:pt>
                <c:pt idx="180">
                  <c:v>0.7004617663937085</c:v>
                </c:pt>
              </c:numCache>
            </c:numRef>
          </c:yVal>
        </c:ser>
        <c:axId val="119237632"/>
        <c:axId val="119251712"/>
      </c:scatterChart>
      <c:valAx>
        <c:axId val="119237632"/>
        <c:scaling>
          <c:orientation val="minMax"/>
          <c:max val="1"/>
          <c:min val="0"/>
        </c:scaling>
        <c:axPos val="b"/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251712"/>
        <c:crosses val="autoZero"/>
        <c:crossBetween val="midCat"/>
      </c:valAx>
      <c:valAx>
        <c:axId val="119251712"/>
        <c:scaling>
          <c:orientation val="minMax"/>
          <c:max val="1"/>
        </c:scaling>
        <c:axPos val="l"/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23763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901"/>
          <c:y val="4.2963477059210109E-2"/>
          <c:w val="0.85880363419058514"/>
          <c:h val="0.82192711068755664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data!$X$6:$X$59</c:f>
              <c:numCache>
                <c:formatCode>0.00</c:formatCode>
                <c:ptCount val="54"/>
                <c:pt idx="0">
                  <c:v>0.51878300133016675</c:v>
                </c:pt>
                <c:pt idx="1">
                  <c:v>0.57825621217033207</c:v>
                </c:pt>
                <c:pt idx="2">
                  <c:v>0.49688584623919557</c:v>
                </c:pt>
                <c:pt idx="3">
                  <c:v>0.47731349059539352</c:v>
                </c:pt>
                <c:pt idx="4">
                  <c:v>0.54976676756790022</c:v>
                </c:pt>
                <c:pt idx="5">
                  <c:v>0.61011795876790176</c:v>
                </c:pt>
                <c:pt idx="6">
                  <c:v>0.65185880397552254</c:v>
                </c:pt>
                <c:pt idx="7">
                  <c:v>0.60913760698105424</c:v>
                </c:pt>
                <c:pt idx="8">
                  <c:v>0.50611643537218409</c:v>
                </c:pt>
                <c:pt idx="9">
                  <c:v>0.51247211994521302</c:v>
                </c:pt>
                <c:pt idx="10">
                  <c:v>0.45504648640767742</c:v>
                </c:pt>
                <c:pt idx="11">
                  <c:v>0.5631791785942567</c:v>
                </c:pt>
                <c:pt idx="12">
                  <c:v>0.49045206925017554</c:v>
                </c:pt>
                <c:pt idx="13">
                  <c:v>0.46437872503268801</c:v>
                </c:pt>
                <c:pt idx="14">
                  <c:v>0.55109608352484929</c:v>
                </c:pt>
                <c:pt idx="15">
                  <c:v>0.54912576205083963</c:v>
                </c:pt>
                <c:pt idx="16">
                  <c:v>0.48374329107529429</c:v>
                </c:pt>
                <c:pt idx="17">
                  <c:v>0.58687602739236888</c:v>
                </c:pt>
                <c:pt idx="18">
                  <c:v>0.59178137388843921</c:v>
                </c:pt>
                <c:pt idx="19">
                  <c:v>0.61166554741984724</c:v>
                </c:pt>
                <c:pt idx="20">
                  <c:v>0.33294849579882596</c:v>
                </c:pt>
                <c:pt idx="21">
                  <c:v>0.36775231121467739</c:v>
                </c:pt>
                <c:pt idx="22">
                  <c:v>0.49664870732258831</c:v>
                </c:pt>
                <c:pt idx="23">
                  <c:v>0.41185638157043247</c:v>
                </c:pt>
                <c:pt idx="24">
                  <c:v>0.43653643765291811</c:v>
                </c:pt>
                <c:pt idx="25">
                  <c:v>0.48940380775701348</c:v>
                </c:pt>
                <c:pt idx="26">
                  <c:v>0.47432082207526705</c:v>
                </c:pt>
                <c:pt idx="27">
                  <c:v>0.51917140614478419</c:v>
                </c:pt>
                <c:pt idx="28">
                  <c:v>0.52820945815060549</c:v>
                </c:pt>
                <c:pt idx="29">
                  <c:v>0.62145501247925972</c:v>
                </c:pt>
                <c:pt idx="30">
                  <c:v>0.54971408942685718</c:v>
                </c:pt>
                <c:pt idx="31">
                  <c:v>0.42374547884583041</c:v>
                </c:pt>
                <c:pt idx="32">
                  <c:v>0.48738111304294141</c:v>
                </c:pt>
                <c:pt idx="33">
                  <c:v>0.62469535014161981</c:v>
                </c:pt>
                <c:pt idx="34">
                  <c:v>0.64837417880893577</c:v>
                </c:pt>
                <c:pt idx="35">
                  <c:v>0.46236422653736814</c:v>
                </c:pt>
                <c:pt idx="36">
                  <c:v>0.62362903135458658</c:v>
                </c:pt>
                <c:pt idx="37">
                  <c:v>0.55305171212414539</c:v>
                </c:pt>
                <c:pt idx="38">
                  <c:v>0.55767099266679865</c:v>
                </c:pt>
                <c:pt idx="39">
                  <c:v>0.51868494100819229</c:v>
                </c:pt>
                <c:pt idx="40">
                  <c:v>0.61671863952849704</c:v>
                </c:pt>
                <c:pt idx="41">
                  <c:v>0.48215204282842988</c:v>
                </c:pt>
                <c:pt idx="42">
                  <c:v>0.47989629454158028</c:v>
                </c:pt>
                <c:pt idx="43">
                  <c:v>0.40806759082764921</c:v>
                </c:pt>
                <c:pt idx="44">
                  <c:v>0.54149490337971684</c:v>
                </c:pt>
                <c:pt idx="45">
                  <c:v>0.43171091875270007</c:v>
                </c:pt>
                <c:pt idx="46">
                  <c:v>0.45969648865094076</c:v>
                </c:pt>
                <c:pt idx="47">
                  <c:v>0.62341168739420938</c:v>
                </c:pt>
                <c:pt idx="48">
                  <c:v>0.44385033710495142</c:v>
                </c:pt>
                <c:pt idx="49">
                  <c:v>0.61339741007997794</c:v>
                </c:pt>
                <c:pt idx="50">
                  <c:v>0.491266350960468</c:v>
                </c:pt>
                <c:pt idx="51">
                  <c:v>0.41160841536988246</c:v>
                </c:pt>
                <c:pt idx="52">
                  <c:v>0.62110764126492413</c:v>
                </c:pt>
                <c:pt idx="53">
                  <c:v>0.48520638913236686</c:v>
                </c:pt>
              </c:numCache>
            </c:numRef>
          </c:xVal>
          <c:yVal>
            <c:numRef>
              <c:f>data!$AB$6:$AB$59</c:f>
              <c:numCache>
                <c:formatCode>0.00</c:formatCode>
                <c:ptCount val="54"/>
                <c:pt idx="0">
                  <c:v>15.349999999999998</c:v>
                </c:pt>
                <c:pt idx="1">
                  <c:v>14.419</c:v>
                </c:pt>
                <c:pt idx="2">
                  <c:v>15.254999999999999</c:v>
                </c:pt>
                <c:pt idx="3">
                  <c:v>17.800999999999998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17.533999999999999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13.629999999999999</c:v>
                </c:pt>
                <c:pt idx="14">
                  <c:v>0</c:v>
                </c:pt>
                <c:pt idx="15">
                  <c:v>0</c:v>
                </c:pt>
                <c:pt idx="16">
                  <c:v>14.772000000000002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14.631</c:v>
                </c:pt>
                <c:pt idx="21">
                  <c:v>13.038</c:v>
                </c:pt>
                <c:pt idx="22">
                  <c:v>13.732999999999999</c:v>
                </c:pt>
                <c:pt idx="23">
                  <c:v>13.812000000000001</c:v>
                </c:pt>
                <c:pt idx="24">
                  <c:v>16.224</c:v>
                </c:pt>
                <c:pt idx="25">
                  <c:v>13.342000000000001</c:v>
                </c:pt>
                <c:pt idx="26">
                  <c:v>17.531000000000002</c:v>
                </c:pt>
                <c:pt idx="27">
                  <c:v>0</c:v>
                </c:pt>
                <c:pt idx="28">
                  <c:v>18.330000000000002</c:v>
                </c:pt>
                <c:pt idx="29">
                  <c:v>0</c:v>
                </c:pt>
                <c:pt idx="30">
                  <c:v>15.54</c:v>
                </c:pt>
                <c:pt idx="31">
                  <c:v>16.797000000000001</c:v>
                </c:pt>
                <c:pt idx="32">
                  <c:v>14.343999999999999</c:v>
                </c:pt>
                <c:pt idx="33">
                  <c:v>0</c:v>
                </c:pt>
                <c:pt idx="34">
                  <c:v>0</c:v>
                </c:pt>
                <c:pt idx="35">
                  <c:v>18.3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12.875999999999998</c:v>
                </c:pt>
                <c:pt idx="40">
                  <c:v>0</c:v>
                </c:pt>
                <c:pt idx="41">
                  <c:v>0</c:v>
                </c:pt>
                <c:pt idx="42">
                  <c:v>17.661000000000001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10.512999999999998</c:v>
                </c:pt>
                <c:pt idx="49">
                  <c:v>0</c:v>
                </c:pt>
                <c:pt idx="50">
                  <c:v>12.760999999999999</c:v>
                </c:pt>
                <c:pt idx="51">
                  <c:v>0</c:v>
                </c:pt>
                <c:pt idx="52">
                  <c:v>0</c:v>
                </c:pt>
                <c:pt idx="53">
                  <c:v>14.729000000000001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data!$X$6:$X$59</c:f>
              <c:numCache>
                <c:formatCode>0.00</c:formatCode>
                <c:ptCount val="54"/>
                <c:pt idx="0">
                  <c:v>0.51878300133016675</c:v>
                </c:pt>
                <c:pt idx="1">
                  <c:v>0.57825621217033207</c:v>
                </c:pt>
                <c:pt idx="2">
                  <c:v>0.49688584623919557</c:v>
                </c:pt>
                <c:pt idx="3">
                  <c:v>0.47731349059539352</c:v>
                </c:pt>
                <c:pt idx="4">
                  <c:v>0.54976676756790022</c:v>
                </c:pt>
                <c:pt idx="5">
                  <c:v>0.61011795876790176</c:v>
                </c:pt>
                <c:pt idx="6">
                  <c:v>0.65185880397552254</c:v>
                </c:pt>
                <c:pt idx="7">
                  <c:v>0.60913760698105424</c:v>
                </c:pt>
                <c:pt idx="8">
                  <c:v>0.50611643537218409</c:v>
                </c:pt>
                <c:pt idx="9">
                  <c:v>0.51247211994521302</c:v>
                </c:pt>
                <c:pt idx="10">
                  <c:v>0.45504648640767742</c:v>
                </c:pt>
                <c:pt idx="11">
                  <c:v>0.5631791785942567</c:v>
                </c:pt>
                <c:pt idx="12">
                  <c:v>0.49045206925017554</c:v>
                </c:pt>
                <c:pt idx="13">
                  <c:v>0.46437872503268801</c:v>
                </c:pt>
                <c:pt idx="14">
                  <c:v>0.55109608352484929</c:v>
                </c:pt>
                <c:pt idx="15">
                  <c:v>0.54912576205083963</c:v>
                </c:pt>
                <c:pt idx="16">
                  <c:v>0.48374329107529429</c:v>
                </c:pt>
                <c:pt idx="17">
                  <c:v>0.58687602739236888</c:v>
                </c:pt>
                <c:pt idx="18">
                  <c:v>0.59178137388843921</c:v>
                </c:pt>
                <c:pt idx="19">
                  <c:v>0.61166554741984724</c:v>
                </c:pt>
                <c:pt idx="20">
                  <c:v>0.33294849579882596</c:v>
                </c:pt>
                <c:pt idx="21">
                  <c:v>0.36775231121467739</c:v>
                </c:pt>
                <c:pt idx="22">
                  <c:v>0.49664870732258831</c:v>
                </c:pt>
                <c:pt idx="23">
                  <c:v>0.41185638157043247</c:v>
                </c:pt>
                <c:pt idx="24">
                  <c:v>0.43653643765291811</c:v>
                </c:pt>
                <c:pt idx="25">
                  <c:v>0.48940380775701348</c:v>
                </c:pt>
                <c:pt idx="26">
                  <c:v>0.47432082207526705</c:v>
                </c:pt>
                <c:pt idx="27">
                  <c:v>0.51917140614478419</c:v>
                </c:pt>
                <c:pt idx="28">
                  <c:v>0.52820945815060549</c:v>
                </c:pt>
                <c:pt idx="29">
                  <c:v>0.62145501247925972</c:v>
                </c:pt>
                <c:pt idx="30">
                  <c:v>0.54971408942685718</c:v>
                </c:pt>
                <c:pt idx="31">
                  <c:v>0.42374547884583041</c:v>
                </c:pt>
                <c:pt idx="32">
                  <c:v>0.48738111304294141</c:v>
                </c:pt>
                <c:pt idx="33">
                  <c:v>0.62469535014161981</c:v>
                </c:pt>
                <c:pt idx="34">
                  <c:v>0.64837417880893577</c:v>
                </c:pt>
                <c:pt idx="35">
                  <c:v>0.46236422653736814</c:v>
                </c:pt>
                <c:pt idx="36">
                  <c:v>0.62362903135458658</c:v>
                </c:pt>
                <c:pt idx="37">
                  <c:v>0.55305171212414539</c:v>
                </c:pt>
                <c:pt idx="38">
                  <c:v>0.55767099266679865</c:v>
                </c:pt>
                <c:pt idx="39">
                  <c:v>0.51868494100819229</c:v>
                </c:pt>
                <c:pt idx="40">
                  <c:v>0.61671863952849704</c:v>
                </c:pt>
                <c:pt idx="41">
                  <c:v>0.48215204282842988</c:v>
                </c:pt>
                <c:pt idx="42">
                  <c:v>0.47989629454158028</c:v>
                </c:pt>
                <c:pt idx="43">
                  <c:v>0.40806759082764921</c:v>
                </c:pt>
                <c:pt idx="44">
                  <c:v>0.54149490337971684</c:v>
                </c:pt>
                <c:pt idx="45">
                  <c:v>0.43171091875270007</c:v>
                </c:pt>
                <c:pt idx="46">
                  <c:v>0.45969648865094076</c:v>
                </c:pt>
                <c:pt idx="47">
                  <c:v>0.62341168739420938</c:v>
                </c:pt>
                <c:pt idx="48">
                  <c:v>0.44385033710495142</c:v>
                </c:pt>
                <c:pt idx="49">
                  <c:v>0.61339741007997794</c:v>
                </c:pt>
                <c:pt idx="50">
                  <c:v>0.491266350960468</c:v>
                </c:pt>
                <c:pt idx="51">
                  <c:v>0.41160841536988246</c:v>
                </c:pt>
                <c:pt idx="52">
                  <c:v>0.62110764126492413</c:v>
                </c:pt>
                <c:pt idx="53">
                  <c:v>0.48520638913236686</c:v>
                </c:pt>
              </c:numCache>
            </c:numRef>
          </c:xVal>
          <c:yVal>
            <c:numRef>
              <c:f>data!$AC$6:$AC$59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20.371000000000002</c:v>
                </c:pt>
                <c:pt idx="5">
                  <c:v>14.452999999999999</c:v>
                </c:pt>
                <c:pt idx="6">
                  <c:v>15.484999999999999</c:v>
                </c:pt>
                <c:pt idx="7">
                  <c:v>16.600999999999999</c:v>
                </c:pt>
                <c:pt idx="8">
                  <c:v>0</c:v>
                </c:pt>
                <c:pt idx="9">
                  <c:v>25.453999999999997</c:v>
                </c:pt>
                <c:pt idx="10">
                  <c:v>15.904999999999998</c:v>
                </c:pt>
                <c:pt idx="11">
                  <c:v>18.782999999999998</c:v>
                </c:pt>
                <c:pt idx="12">
                  <c:v>16.873000000000001</c:v>
                </c:pt>
                <c:pt idx="13">
                  <c:v>0</c:v>
                </c:pt>
                <c:pt idx="14">
                  <c:v>18.409000000000002</c:v>
                </c:pt>
                <c:pt idx="15">
                  <c:v>12.968</c:v>
                </c:pt>
                <c:pt idx="16">
                  <c:v>0</c:v>
                </c:pt>
                <c:pt idx="17">
                  <c:v>18.903999999999996</c:v>
                </c:pt>
                <c:pt idx="18">
                  <c:v>18.623999999999999</c:v>
                </c:pt>
                <c:pt idx="19">
                  <c:v>14.043999999999999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15.552</c:v>
                </c:pt>
                <c:pt idx="28">
                  <c:v>0</c:v>
                </c:pt>
                <c:pt idx="29">
                  <c:v>14.122999999999999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14.831</c:v>
                </c:pt>
                <c:pt idx="34">
                  <c:v>18.432000000000002</c:v>
                </c:pt>
                <c:pt idx="35">
                  <c:v>0</c:v>
                </c:pt>
                <c:pt idx="36">
                  <c:v>24.457000000000001</c:v>
                </c:pt>
                <c:pt idx="37">
                  <c:v>20.883999999999997</c:v>
                </c:pt>
                <c:pt idx="38">
                  <c:v>11.896000000000001</c:v>
                </c:pt>
                <c:pt idx="39">
                  <c:v>0</c:v>
                </c:pt>
                <c:pt idx="40">
                  <c:v>19.05</c:v>
                </c:pt>
                <c:pt idx="41">
                  <c:v>11.571</c:v>
                </c:pt>
                <c:pt idx="42">
                  <c:v>0</c:v>
                </c:pt>
                <c:pt idx="43">
                  <c:v>14.629999999999999</c:v>
                </c:pt>
                <c:pt idx="44">
                  <c:v>13.7</c:v>
                </c:pt>
                <c:pt idx="45">
                  <c:v>19.940000000000001</c:v>
                </c:pt>
                <c:pt idx="46">
                  <c:v>14.959000000000001</c:v>
                </c:pt>
                <c:pt idx="47">
                  <c:v>25.085999999999999</c:v>
                </c:pt>
                <c:pt idx="48">
                  <c:v>0</c:v>
                </c:pt>
                <c:pt idx="49">
                  <c:v>19.155000000000001</c:v>
                </c:pt>
                <c:pt idx="50">
                  <c:v>0</c:v>
                </c:pt>
                <c:pt idx="51">
                  <c:v>16.321000000000002</c:v>
                </c:pt>
                <c:pt idx="52">
                  <c:v>15.061</c:v>
                </c:pt>
                <c:pt idx="53">
                  <c:v>0</c:v>
                </c:pt>
              </c:numCache>
            </c:numRef>
          </c:yVal>
        </c:ser>
        <c:axId val="119276288"/>
        <c:axId val="119278208"/>
      </c:scatterChart>
      <c:valAx>
        <c:axId val="119276288"/>
        <c:scaling>
          <c:orientation val="minMax"/>
          <c:min val="0.25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CHROMA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278208"/>
        <c:crosses val="autoZero"/>
        <c:crossBetween val="midCat"/>
      </c:valAx>
      <c:valAx>
        <c:axId val="119278208"/>
        <c:scaling>
          <c:orientation val="minMax"/>
          <c:min val="0.25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 baseline="0"/>
                  <a:t>BRIGHTNESS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7676023854991138E-3"/>
              <c:y val="0.28607269670965163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9276288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3165136503864328"/>
          <c:y val="0.150510346757497"/>
          <c:w val="0.11619614126240352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897"/>
          <c:y val="4.2963477059210074E-2"/>
          <c:w val="0.8588036341905847"/>
          <c:h val="0.82192711068755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'data (2)'!$Q$6:$Q$59</c:f>
              <c:numCache>
                <c:formatCode>0.00</c:formatCode>
                <c:ptCount val="54"/>
                <c:pt idx="0">
                  <c:v>0.37777777777777777</c:v>
                </c:pt>
                <c:pt idx="1">
                  <c:v>0.4088888888888888</c:v>
                </c:pt>
                <c:pt idx="2">
                  <c:v>0.35135135135135137</c:v>
                </c:pt>
                <c:pt idx="3">
                  <c:v>0.3492063492063493</c:v>
                </c:pt>
                <c:pt idx="4">
                  <c:v>0.37579617834394907</c:v>
                </c:pt>
                <c:pt idx="5">
                  <c:v>0.39791666666666659</c:v>
                </c:pt>
                <c:pt idx="6">
                  <c:v>0.43773584905660384</c:v>
                </c:pt>
                <c:pt idx="7">
                  <c:v>0.39492753623188415</c:v>
                </c:pt>
                <c:pt idx="8">
                  <c:v>0.34615384615384615</c:v>
                </c:pt>
                <c:pt idx="9">
                  <c:v>0.3603723404255319</c:v>
                </c:pt>
                <c:pt idx="10">
                  <c:v>0.32511210762331844</c:v>
                </c:pt>
                <c:pt idx="11">
                  <c:v>0.3886986301369863</c:v>
                </c:pt>
                <c:pt idx="12">
                  <c:v>0.38297872340425521</c:v>
                </c:pt>
                <c:pt idx="13">
                  <c:v>0.31794871794871793</c:v>
                </c:pt>
                <c:pt idx="14">
                  <c:v>0.38790035587188615</c:v>
                </c:pt>
                <c:pt idx="15">
                  <c:v>0.37939698492462304</c:v>
                </c:pt>
                <c:pt idx="16">
                  <c:v>0.33023255813953489</c:v>
                </c:pt>
                <c:pt idx="17">
                  <c:v>0.41582491582491571</c:v>
                </c:pt>
                <c:pt idx="18">
                  <c:v>0.40909090909090912</c:v>
                </c:pt>
                <c:pt idx="19">
                  <c:v>0.41921397379912656</c:v>
                </c:pt>
                <c:pt idx="20">
                  <c:v>0.17692307692307685</c:v>
                </c:pt>
                <c:pt idx="21">
                  <c:v>0.20786516853932591</c:v>
                </c:pt>
                <c:pt idx="22">
                  <c:v>0.32843137254901966</c:v>
                </c:pt>
                <c:pt idx="23">
                  <c:v>0.28989361702127658</c:v>
                </c:pt>
                <c:pt idx="24">
                  <c:v>0.30309734513274345</c:v>
                </c:pt>
                <c:pt idx="25">
                  <c:v>0.32908163265306128</c:v>
                </c:pt>
                <c:pt idx="26">
                  <c:v>0.34136546184738947</c:v>
                </c:pt>
                <c:pt idx="27">
                  <c:v>0.35622317596566522</c:v>
                </c:pt>
                <c:pt idx="28">
                  <c:v>0.33745583038869259</c:v>
                </c:pt>
                <c:pt idx="29">
                  <c:v>0.38796680497925307</c:v>
                </c:pt>
                <c:pt idx="30">
                  <c:v>0.38235294117647062</c:v>
                </c:pt>
                <c:pt idx="31">
                  <c:v>0.28205128205128205</c:v>
                </c:pt>
                <c:pt idx="32">
                  <c:v>0.33492822966507185</c:v>
                </c:pt>
                <c:pt idx="33">
                  <c:v>0.38976377952755897</c:v>
                </c:pt>
                <c:pt idx="34">
                  <c:v>0.45765472312703587</c:v>
                </c:pt>
                <c:pt idx="35">
                  <c:v>0.33463035019455267</c:v>
                </c:pt>
                <c:pt idx="36">
                  <c:v>0.45165394402035619</c:v>
                </c:pt>
                <c:pt idx="37">
                  <c:v>0.39028213166144204</c:v>
                </c:pt>
                <c:pt idx="38">
                  <c:v>0.37365591397849462</c:v>
                </c:pt>
                <c:pt idx="39">
                  <c:v>0.3549222797927461</c:v>
                </c:pt>
                <c:pt idx="40">
                  <c:v>0.42307692307692307</c:v>
                </c:pt>
                <c:pt idx="41">
                  <c:v>0.3303571428571429</c:v>
                </c:pt>
                <c:pt idx="42">
                  <c:v>0.34523809523809523</c:v>
                </c:pt>
                <c:pt idx="43">
                  <c:v>0.30102040816326525</c:v>
                </c:pt>
                <c:pt idx="44">
                  <c:v>0.3732057416267941</c:v>
                </c:pt>
                <c:pt idx="45">
                  <c:v>0.30253623188405798</c:v>
                </c:pt>
                <c:pt idx="46">
                  <c:v>0.33095238095238089</c:v>
                </c:pt>
                <c:pt idx="47">
                  <c:v>0.47081218274111675</c:v>
                </c:pt>
                <c:pt idx="48">
                  <c:v>0.23870967741935478</c:v>
                </c:pt>
                <c:pt idx="49">
                  <c:v>0.4442622950819673</c:v>
                </c:pt>
                <c:pt idx="50">
                  <c:v>0.32275132275132262</c:v>
                </c:pt>
                <c:pt idx="51">
                  <c:v>0.29999999999999993</c:v>
                </c:pt>
                <c:pt idx="52">
                  <c:v>0.39607843137254894</c:v>
                </c:pt>
                <c:pt idx="53">
                  <c:v>0.32407407407407424</c:v>
                </c:pt>
              </c:numCache>
            </c:numRef>
          </c:xVal>
          <c:yVal>
            <c:numRef>
              <c:f>'data (2)'!$S$6:$S$59</c:f>
              <c:numCache>
                <c:formatCode>0.00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0.35135135135135132</c:v>
                </c:pt>
                <c:pt idx="3">
                  <c:v>0.32539682539682535</c:v>
                </c:pt>
                <c:pt idx="4">
                  <c:v>0.40127388535031838</c:v>
                </c:pt>
                <c:pt idx="5">
                  <c:v>0.46250000000000002</c:v>
                </c:pt>
                <c:pt idx="6">
                  <c:v>#N/A</c:v>
                </c:pt>
                <c:pt idx="7">
                  <c:v>0.46376811594202894</c:v>
                </c:pt>
                <c:pt idx="8">
                  <c:v>#N/A</c:v>
                </c:pt>
                <c:pt idx="9">
                  <c:v>0.36436170212765961</c:v>
                </c:pt>
                <c:pt idx="10">
                  <c:v>0.31838565022421528</c:v>
                </c:pt>
                <c:pt idx="11">
                  <c:v>0.40753424657534243</c:v>
                </c:pt>
                <c:pt idx="12">
                  <c:v>#N/A</c:v>
                </c:pt>
                <c:pt idx="13">
                  <c:v>0.33846153846153848</c:v>
                </c:pt>
                <c:pt idx="14">
                  <c:v>0.39145907473309605</c:v>
                </c:pt>
                <c:pt idx="15">
                  <c:v>0.39698492462311552</c:v>
                </c:pt>
                <c:pt idx="16">
                  <c:v>0.3534883720930232</c:v>
                </c:pt>
                <c:pt idx="17">
                  <c:v>0.41414141414141414</c:v>
                </c:pt>
                <c:pt idx="18">
                  <c:v>#N/A</c:v>
                </c:pt>
                <c:pt idx="19">
                  <c:v>#N/A</c:v>
                </c:pt>
                <c:pt idx="20">
                  <c:v>0.28205128205128205</c:v>
                </c:pt>
                <c:pt idx="21">
                  <c:v>0.3033707865168539</c:v>
                </c:pt>
                <c:pt idx="22">
                  <c:v>#N/A</c:v>
                </c:pt>
                <c:pt idx="23">
                  <c:v>0.29255319148936165</c:v>
                </c:pt>
                <c:pt idx="24">
                  <c:v>0.31415929203539827</c:v>
                </c:pt>
                <c:pt idx="25">
                  <c:v>0.36224489795918369</c:v>
                </c:pt>
                <c:pt idx="26">
                  <c:v>0.32931726907630521</c:v>
                </c:pt>
                <c:pt idx="27">
                  <c:v>0.37768240343347637</c:v>
                </c:pt>
                <c:pt idx="28">
                  <c:v>#N/A</c:v>
                </c:pt>
                <c:pt idx="29">
                  <c:v>0.48547717842323657</c:v>
                </c:pt>
                <c:pt idx="30">
                  <c:v>#N/A</c:v>
                </c:pt>
                <c:pt idx="31">
                  <c:v>0.31623931623931623</c:v>
                </c:pt>
                <c:pt idx="32">
                  <c:v>0.35406698564593297</c:v>
                </c:pt>
                <c:pt idx="33">
                  <c:v>0.48818897637795278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0.39184952978056431</c:v>
                </c:pt>
                <c:pt idx="38">
                  <c:v>0.41397849462365599</c:v>
                </c:pt>
                <c:pt idx="39">
                  <c:v>0.37823834196891193</c:v>
                </c:pt>
                <c:pt idx="40">
                  <c:v>#N/A</c:v>
                </c:pt>
                <c:pt idx="41">
                  <c:v>#N/A</c:v>
                </c:pt>
                <c:pt idx="42">
                  <c:v>0.33333333333333326</c:v>
                </c:pt>
                <c:pt idx="43">
                  <c:v>0.27551020408163274</c:v>
                </c:pt>
                <c:pt idx="44">
                  <c:v>#N/A</c:v>
                </c:pt>
                <c:pt idx="45">
                  <c:v>0.30797101449275366</c:v>
                </c:pt>
                <c:pt idx="46">
                  <c:v>0.31904761904761902</c:v>
                </c:pt>
                <c:pt idx="47">
                  <c:v>#N/A</c:v>
                </c:pt>
                <c:pt idx="48">
                  <c:v>#N/A</c:v>
                </c:pt>
                <c:pt idx="49">
                  <c:v>0.42295081967213111</c:v>
                </c:pt>
                <c:pt idx="50">
                  <c:v>0.37037037037037035</c:v>
                </c:pt>
                <c:pt idx="51">
                  <c:v>0.28181818181818175</c:v>
                </c:pt>
                <c:pt idx="52">
                  <c:v>#N/A</c:v>
                </c:pt>
                <c:pt idx="53">
                  <c:v>#N/A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'data (2)'!$Q$6:$Q$59</c:f>
              <c:numCache>
                <c:formatCode>0.00</c:formatCode>
                <c:ptCount val="54"/>
                <c:pt idx="0">
                  <c:v>0.37777777777777777</c:v>
                </c:pt>
                <c:pt idx="1">
                  <c:v>0.4088888888888888</c:v>
                </c:pt>
                <c:pt idx="2">
                  <c:v>0.35135135135135137</c:v>
                </c:pt>
                <c:pt idx="3">
                  <c:v>0.3492063492063493</c:v>
                </c:pt>
                <c:pt idx="4">
                  <c:v>0.37579617834394907</c:v>
                </c:pt>
                <c:pt idx="5">
                  <c:v>0.39791666666666659</c:v>
                </c:pt>
                <c:pt idx="6">
                  <c:v>0.43773584905660384</c:v>
                </c:pt>
                <c:pt idx="7">
                  <c:v>0.39492753623188415</c:v>
                </c:pt>
                <c:pt idx="8">
                  <c:v>0.34615384615384615</c:v>
                </c:pt>
                <c:pt idx="9">
                  <c:v>0.3603723404255319</c:v>
                </c:pt>
                <c:pt idx="10">
                  <c:v>0.32511210762331844</c:v>
                </c:pt>
                <c:pt idx="11">
                  <c:v>0.3886986301369863</c:v>
                </c:pt>
                <c:pt idx="12">
                  <c:v>0.38297872340425521</c:v>
                </c:pt>
                <c:pt idx="13">
                  <c:v>0.31794871794871793</c:v>
                </c:pt>
                <c:pt idx="14">
                  <c:v>0.38790035587188615</c:v>
                </c:pt>
                <c:pt idx="15">
                  <c:v>0.37939698492462304</c:v>
                </c:pt>
                <c:pt idx="16">
                  <c:v>0.33023255813953489</c:v>
                </c:pt>
                <c:pt idx="17">
                  <c:v>0.41582491582491571</c:v>
                </c:pt>
                <c:pt idx="18">
                  <c:v>0.40909090909090912</c:v>
                </c:pt>
                <c:pt idx="19">
                  <c:v>0.41921397379912656</c:v>
                </c:pt>
                <c:pt idx="20">
                  <c:v>0.17692307692307685</c:v>
                </c:pt>
                <c:pt idx="21">
                  <c:v>0.20786516853932591</c:v>
                </c:pt>
                <c:pt idx="22">
                  <c:v>0.32843137254901966</c:v>
                </c:pt>
                <c:pt idx="23">
                  <c:v>0.28989361702127658</c:v>
                </c:pt>
                <c:pt idx="24">
                  <c:v>0.30309734513274345</c:v>
                </c:pt>
                <c:pt idx="25">
                  <c:v>0.32908163265306128</c:v>
                </c:pt>
                <c:pt idx="26">
                  <c:v>0.34136546184738947</c:v>
                </c:pt>
                <c:pt idx="27">
                  <c:v>0.35622317596566522</c:v>
                </c:pt>
                <c:pt idx="28">
                  <c:v>0.33745583038869259</c:v>
                </c:pt>
                <c:pt idx="29">
                  <c:v>0.38796680497925307</c:v>
                </c:pt>
                <c:pt idx="30">
                  <c:v>0.38235294117647062</c:v>
                </c:pt>
                <c:pt idx="31">
                  <c:v>0.28205128205128205</c:v>
                </c:pt>
                <c:pt idx="32">
                  <c:v>0.33492822966507185</c:v>
                </c:pt>
                <c:pt idx="33">
                  <c:v>0.38976377952755897</c:v>
                </c:pt>
                <c:pt idx="34">
                  <c:v>0.45765472312703587</c:v>
                </c:pt>
                <c:pt idx="35">
                  <c:v>0.33463035019455267</c:v>
                </c:pt>
                <c:pt idx="36">
                  <c:v>0.45165394402035619</c:v>
                </c:pt>
                <c:pt idx="37">
                  <c:v>0.39028213166144204</c:v>
                </c:pt>
                <c:pt idx="38">
                  <c:v>0.37365591397849462</c:v>
                </c:pt>
                <c:pt idx="39">
                  <c:v>0.3549222797927461</c:v>
                </c:pt>
                <c:pt idx="40">
                  <c:v>0.42307692307692307</c:v>
                </c:pt>
                <c:pt idx="41">
                  <c:v>0.3303571428571429</c:v>
                </c:pt>
                <c:pt idx="42">
                  <c:v>0.34523809523809523</c:v>
                </c:pt>
                <c:pt idx="43">
                  <c:v>0.30102040816326525</c:v>
                </c:pt>
                <c:pt idx="44">
                  <c:v>0.3732057416267941</c:v>
                </c:pt>
                <c:pt idx="45">
                  <c:v>0.30253623188405798</c:v>
                </c:pt>
                <c:pt idx="46">
                  <c:v>0.33095238095238089</c:v>
                </c:pt>
                <c:pt idx="47">
                  <c:v>0.47081218274111675</c:v>
                </c:pt>
                <c:pt idx="48">
                  <c:v>0.23870967741935478</c:v>
                </c:pt>
                <c:pt idx="49">
                  <c:v>0.4442622950819673</c:v>
                </c:pt>
                <c:pt idx="50">
                  <c:v>0.32275132275132262</c:v>
                </c:pt>
                <c:pt idx="51">
                  <c:v>0.29999999999999993</c:v>
                </c:pt>
                <c:pt idx="52">
                  <c:v>0.39607843137254894</c:v>
                </c:pt>
                <c:pt idx="53">
                  <c:v>0.32407407407407424</c:v>
                </c:pt>
              </c:numCache>
            </c:numRef>
          </c:xVal>
          <c:yVal>
            <c:numRef>
              <c:f>'data (2)'!$T$6:$T$59</c:f>
              <c:numCache>
                <c:formatCode>0.00</c:formatCode>
                <c:ptCount val="54"/>
                <c:pt idx="0">
                  <c:v>0.35555555555555551</c:v>
                </c:pt>
                <c:pt idx="1">
                  <c:v>0.40888888888888886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0.48301886792452831</c:v>
                </c:pt>
                <c:pt idx="7">
                  <c:v>#N/A</c:v>
                </c:pt>
                <c:pt idx="8">
                  <c:v>0.36923076923076925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0.30638297872340425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0.42760942760942755</c:v>
                </c:pt>
                <c:pt idx="19">
                  <c:v>0.44541484716157209</c:v>
                </c:pt>
                <c:pt idx="20">
                  <c:v>#N/A</c:v>
                </c:pt>
                <c:pt idx="21">
                  <c:v>#N/A</c:v>
                </c:pt>
                <c:pt idx="22">
                  <c:v>0.37254901960784303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0.40636042402826855</c:v>
                </c:pt>
                <c:pt idx="29">
                  <c:v>#N/A</c:v>
                </c:pt>
                <c:pt idx="30">
                  <c:v>0.39495798319327735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0.45928338762214982</c:v>
                </c:pt>
                <c:pt idx="35">
                  <c:v>0.31906614785992216</c:v>
                </c:pt>
                <c:pt idx="36">
                  <c:v>0.43002544529262088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0.44871794871794868</c:v>
                </c:pt>
                <c:pt idx="41">
                  <c:v>0.35119047619047616</c:v>
                </c:pt>
                <c:pt idx="42">
                  <c:v>#N/A</c:v>
                </c:pt>
                <c:pt idx="43">
                  <c:v>#N/A</c:v>
                </c:pt>
                <c:pt idx="44">
                  <c:v>0.39234449760765544</c:v>
                </c:pt>
                <c:pt idx="45">
                  <c:v>#N/A</c:v>
                </c:pt>
                <c:pt idx="46">
                  <c:v>#N/A</c:v>
                </c:pt>
                <c:pt idx="47">
                  <c:v>0.40862944162436543</c:v>
                </c:pt>
                <c:pt idx="48">
                  <c:v>0.37419354838709684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0.47843137254901957</c:v>
                </c:pt>
                <c:pt idx="53">
                  <c:v>0.36111111111111116</c:v>
                </c:pt>
              </c:numCache>
            </c:numRef>
          </c:yVal>
        </c:ser>
        <c:axId val="119790976"/>
        <c:axId val="119809536"/>
      </c:scatterChart>
      <c:valAx>
        <c:axId val="119790976"/>
        <c:scaling>
          <c:orientation val="minMax"/>
          <c:max val="0.55000000000000004"/>
          <c:min val="0.1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MS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809536"/>
        <c:crosses val="autoZero"/>
        <c:crossBetween val="midCat"/>
        <c:majorUnit val="0.1"/>
      </c:valAx>
      <c:valAx>
        <c:axId val="119809536"/>
        <c:scaling>
          <c:orientation val="minMax"/>
          <c:max val="0.55000000000000004"/>
          <c:min val="0.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LM</a:t>
                </a:r>
              </a:p>
            </c:rich>
          </c:tx>
          <c:layout>
            <c:manualLayout>
              <c:xMode val="edge"/>
              <c:yMode val="edge"/>
              <c:x val="2.8879227956190696E-2"/>
              <c:y val="0.44707743405943157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9790976"/>
        <c:crosses val="autoZero"/>
        <c:crossBetween val="midCat"/>
        <c:majorUnit val="0.1"/>
      </c:valAx>
      <c:spPr>
        <a:noFill/>
      </c:spPr>
    </c:plotArea>
    <c:legend>
      <c:legendPos val="r"/>
      <c:layout>
        <c:manualLayout>
          <c:xMode val="edge"/>
          <c:yMode val="edge"/>
          <c:x val="0.13165136503864333"/>
          <c:y val="0.15051034675749686"/>
          <c:w val="0.11619614126240345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901"/>
          <c:y val="4.2963477059210109E-2"/>
          <c:w val="0.85880363419058514"/>
          <c:h val="0.82192711068755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'data (2)'!$U$6:$U$59</c:f>
              <c:numCache>
                <c:formatCode>0.00</c:formatCode>
                <c:ptCount val="54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</c:numCache>
            </c:numRef>
          </c:xVal>
          <c:yVal>
            <c:numRef>
              <c:f>'data (2)'!$W$6:$W$59</c:f>
              <c:numCache>
                <c:formatCode>0.00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0.49688584623919557</c:v>
                </c:pt>
                <c:pt idx="3">
                  <c:v>0.47731349059539352</c:v>
                </c:pt>
                <c:pt idx="4">
                  <c:v>0.54976676756790022</c:v>
                </c:pt>
                <c:pt idx="5">
                  <c:v>0.61011795876790176</c:v>
                </c:pt>
                <c:pt idx="6">
                  <c:v>#N/A</c:v>
                </c:pt>
                <c:pt idx="7">
                  <c:v>0.60913760698105424</c:v>
                </c:pt>
                <c:pt idx="8">
                  <c:v>#N/A</c:v>
                </c:pt>
                <c:pt idx="9">
                  <c:v>0.51247211994521302</c:v>
                </c:pt>
                <c:pt idx="10">
                  <c:v>0.45504648640767742</c:v>
                </c:pt>
                <c:pt idx="11">
                  <c:v>0.5631791785942567</c:v>
                </c:pt>
                <c:pt idx="12">
                  <c:v>#N/A</c:v>
                </c:pt>
                <c:pt idx="13">
                  <c:v>0.46437872503268801</c:v>
                </c:pt>
                <c:pt idx="14">
                  <c:v>0.55109608352484929</c:v>
                </c:pt>
                <c:pt idx="15">
                  <c:v>0.54912576205083963</c:v>
                </c:pt>
                <c:pt idx="16">
                  <c:v>0.48374329107529429</c:v>
                </c:pt>
                <c:pt idx="17">
                  <c:v>0.58687602739236888</c:v>
                </c:pt>
                <c:pt idx="18">
                  <c:v>#N/A</c:v>
                </c:pt>
                <c:pt idx="19">
                  <c:v>#N/A</c:v>
                </c:pt>
                <c:pt idx="20">
                  <c:v>0.33294849579882596</c:v>
                </c:pt>
                <c:pt idx="21">
                  <c:v>0.36775231121467739</c:v>
                </c:pt>
                <c:pt idx="22">
                  <c:v>#N/A</c:v>
                </c:pt>
                <c:pt idx="23">
                  <c:v>0.41185638157043247</c:v>
                </c:pt>
                <c:pt idx="24">
                  <c:v>0.43653643765291811</c:v>
                </c:pt>
                <c:pt idx="25">
                  <c:v>0.48940380775701348</c:v>
                </c:pt>
                <c:pt idx="26">
                  <c:v>0.47432082207526705</c:v>
                </c:pt>
                <c:pt idx="27">
                  <c:v>0.51917140614478419</c:v>
                </c:pt>
                <c:pt idx="28">
                  <c:v>#N/A</c:v>
                </c:pt>
                <c:pt idx="29">
                  <c:v>0.62145501247925972</c:v>
                </c:pt>
                <c:pt idx="30">
                  <c:v>#N/A</c:v>
                </c:pt>
                <c:pt idx="31">
                  <c:v>0.42374547884583041</c:v>
                </c:pt>
                <c:pt idx="32">
                  <c:v>0.48738111304294141</c:v>
                </c:pt>
                <c:pt idx="33">
                  <c:v>0.62469535014161981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0.55305171212414539</c:v>
                </c:pt>
                <c:pt idx="38">
                  <c:v>0.55767099266679865</c:v>
                </c:pt>
                <c:pt idx="39">
                  <c:v>0.51868494100819229</c:v>
                </c:pt>
                <c:pt idx="40">
                  <c:v>#N/A</c:v>
                </c:pt>
                <c:pt idx="41">
                  <c:v>#N/A</c:v>
                </c:pt>
                <c:pt idx="42">
                  <c:v>0.47989629454158028</c:v>
                </c:pt>
                <c:pt idx="43">
                  <c:v>0.40806759082764921</c:v>
                </c:pt>
                <c:pt idx="44">
                  <c:v>#N/A</c:v>
                </c:pt>
                <c:pt idx="45">
                  <c:v>0.43171091875270007</c:v>
                </c:pt>
                <c:pt idx="46">
                  <c:v>0.45969648865094076</c:v>
                </c:pt>
                <c:pt idx="47">
                  <c:v>#N/A</c:v>
                </c:pt>
                <c:pt idx="48">
                  <c:v>#N/A</c:v>
                </c:pt>
                <c:pt idx="49">
                  <c:v>0.61339741007997794</c:v>
                </c:pt>
                <c:pt idx="50">
                  <c:v>0.491266350960468</c:v>
                </c:pt>
                <c:pt idx="51">
                  <c:v>0.41160841536988246</c:v>
                </c:pt>
                <c:pt idx="52">
                  <c:v>#N/A</c:v>
                </c:pt>
                <c:pt idx="53">
                  <c:v>#N/A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'data (2)'!$U$6:$U$59</c:f>
              <c:numCache>
                <c:formatCode>0.00</c:formatCode>
                <c:ptCount val="54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</c:numCache>
            </c:numRef>
          </c:xVal>
          <c:yVal>
            <c:numRef>
              <c:f>'data (2)'!$X$6:$X$59</c:f>
              <c:numCache>
                <c:formatCode>0.00</c:formatCode>
                <c:ptCount val="54"/>
                <c:pt idx="0">
                  <c:v>0.51878300133016675</c:v>
                </c:pt>
                <c:pt idx="1">
                  <c:v>0.57825621217033207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0.65185880397552254</c:v>
                </c:pt>
                <c:pt idx="7">
                  <c:v>#N/A</c:v>
                </c:pt>
                <c:pt idx="8">
                  <c:v>0.50611643537218409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0.49045206925017554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0.59178137388843921</c:v>
                </c:pt>
                <c:pt idx="19">
                  <c:v>0.61166554741984724</c:v>
                </c:pt>
                <c:pt idx="20">
                  <c:v>#N/A</c:v>
                </c:pt>
                <c:pt idx="21">
                  <c:v>#N/A</c:v>
                </c:pt>
                <c:pt idx="22">
                  <c:v>0.49664870732258831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0.52820945815060549</c:v>
                </c:pt>
                <c:pt idx="29">
                  <c:v>#N/A</c:v>
                </c:pt>
                <c:pt idx="30">
                  <c:v>0.54971408942685718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0.64837417880893577</c:v>
                </c:pt>
                <c:pt idx="35">
                  <c:v>0.46236422653736814</c:v>
                </c:pt>
                <c:pt idx="36">
                  <c:v>0.62362903135458658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0.61671863952849704</c:v>
                </c:pt>
                <c:pt idx="41">
                  <c:v>0.48215204282842988</c:v>
                </c:pt>
                <c:pt idx="42">
                  <c:v>#N/A</c:v>
                </c:pt>
                <c:pt idx="43">
                  <c:v>#N/A</c:v>
                </c:pt>
                <c:pt idx="44">
                  <c:v>0.54149490337971684</c:v>
                </c:pt>
                <c:pt idx="45">
                  <c:v>#N/A</c:v>
                </c:pt>
                <c:pt idx="46">
                  <c:v>#N/A</c:v>
                </c:pt>
                <c:pt idx="47">
                  <c:v>0.62341168739420938</c:v>
                </c:pt>
                <c:pt idx="48">
                  <c:v>0.44385033710495142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0.62110764126492413</c:v>
                </c:pt>
                <c:pt idx="53">
                  <c:v>0.48520638913236686</c:v>
                </c:pt>
              </c:numCache>
            </c:numRef>
          </c:yVal>
        </c:ser>
        <c:axId val="119834496"/>
        <c:axId val="119848960"/>
      </c:scatterChart>
      <c:valAx>
        <c:axId val="119834496"/>
        <c:scaling>
          <c:orientation val="minMax"/>
          <c:min val="25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HUE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848960"/>
        <c:crosses val="autoZero"/>
        <c:crossBetween val="midCat"/>
      </c:valAx>
      <c:valAx>
        <c:axId val="119848960"/>
        <c:scaling>
          <c:orientation val="minMax"/>
          <c:min val="0.25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CHROMA</a:t>
                </a:r>
              </a:p>
            </c:rich>
          </c:tx>
          <c:layout>
            <c:manualLayout>
              <c:xMode val="edge"/>
              <c:yMode val="edge"/>
              <c:x val="3.0154694125174342E-2"/>
              <c:y val="0.34456031493950418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9834496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3165136503864328"/>
          <c:y val="0.150510346757497"/>
          <c:w val="0.11619614126240352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7.6609908716773895E-2"/>
          <c:y val="2.5143713902118871E-2"/>
          <c:w val="0.8581120213286153"/>
          <c:h val="0.85050045088637471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22225">
                <a:solidFill>
                  <a:sysClr val="windowText" lastClr="000000"/>
                </a:solidFill>
              </a:ln>
            </c:spPr>
          </c:marker>
          <c:xVal>
            <c:numRef>
              <c:f>'data (2)'!$AJ$6:$AJ$16</c:f>
              <c:numCache>
                <c:formatCode>0.00</c:formatCode>
                <c:ptCount val="11"/>
                <c:pt idx="0">
                  <c:v>30</c:v>
                </c:pt>
                <c:pt idx="1">
                  <c:v>32.5</c:v>
                </c:pt>
                <c:pt idx="2">
                  <c:v>35</c:v>
                </c:pt>
                <c:pt idx="3">
                  <c:v>37.5</c:v>
                </c:pt>
                <c:pt idx="4">
                  <c:v>40</c:v>
                </c:pt>
                <c:pt idx="5">
                  <c:v>42.5</c:v>
                </c:pt>
                <c:pt idx="6">
                  <c:v>45</c:v>
                </c:pt>
                <c:pt idx="7">
                  <c:v>47.5</c:v>
                </c:pt>
                <c:pt idx="8">
                  <c:v>50</c:v>
                </c:pt>
                <c:pt idx="9">
                  <c:v>52.5</c:v>
                </c:pt>
                <c:pt idx="10">
                  <c:v>55</c:v>
                </c:pt>
              </c:numCache>
            </c:numRef>
          </c:xVal>
          <c:yVal>
            <c:numRef>
              <c:f>'data (2)'!$AK$6:$AK$56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11</c:v>
                </c:pt>
                <c:pt idx="6">
                  <c:v>12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>
              <a:noFill/>
            </a:ln>
          </c:spPr>
          <c:xVal>
            <c:numRef>
              <c:f>'data (2)'!$AJ$6:$AJ$38</c:f>
              <c:numCache>
                <c:formatCode>0.00</c:formatCode>
                <c:ptCount val="33"/>
                <c:pt idx="0">
                  <c:v>30</c:v>
                </c:pt>
                <c:pt idx="1">
                  <c:v>32.5</c:v>
                </c:pt>
                <c:pt idx="2">
                  <c:v>35</c:v>
                </c:pt>
                <c:pt idx="3">
                  <c:v>37.5</c:v>
                </c:pt>
                <c:pt idx="4">
                  <c:v>40</c:v>
                </c:pt>
                <c:pt idx="5">
                  <c:v>42.5</c:v>
                </c:pt>
                <c:pt idx="6">
                  <c:v>45</c:v>
                </c:pt>
                <c:pt idx="7">
                  <c:v>47.5</c:v>
                </c:pt>
                <c:pt idx="8">
                  <c:v>50</c:v>
                </c:pt>
                <c:pt idx="9">
                  <c:v>52.5</c:v>
                </c:pt>
                <c:pt idx="10">
                  <c:v>55</c:v>
                </c:pt>
              </c:numCache>
            </c:numRef>
          </c:xVal>
          <c:yVal>
            <c:numRef>
              <c:f>'data (2)'!$AL$6:$AL$38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8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</c:ser>
        <c:ser>
          <c:idx val="2"/>
          <c:order val="2"/>
          <c:tx>
            <c:v>GAUSSIAN FIT EURING 5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(2)'!$AO$6:$AO$84</c:f>
              <c:numCache>
                <c:formatCode>0.00</c:formatCode>
                <c:ptCount val="79"/>
                <c:pt idx="0">
                  <c:v>25</c:v>
                </c:pt>
                <c:pt idx="1">
                  <c:v>25.4</c:v>
                </c:pt>
                <c:pt idx="2">
                  <c:v>25.799999999999997</c:v>
                </c:pt>
                <c:pt idx="3">
                  <c:v>26.199999999999996</c:v>
                </c:pt>
                <c:pt idx="4">
                  <c:v>26.599999999999994</c:v>
                </c:pt>
                <c:pt idx="5">
                  <c:v>26.999999999999993</c:v>
                </c:pt>
                <c:pt idx="6">
                  <c:v>27.399999999999991</c:v>
                </c:pt>
                <c:pt idx="7">
                  <c:v>27.79999999999999</c:v>
                </c:pt>
                <c:pt idx="8">
                  <c:v>28.199999999999989</c:v>
                </c:pt>
                <c:pt idx="9">
                  <c:v>28.599999999999987</c:v>
                </c:pt>
                <c:pt idx="10">
                  <c:v>28.999999999999986</c:v>
                </c:pt>
                <c:pt idx="11">
                  <c:v>29.399999999999984</c:v>
                </c:pt>
                <c:pt idx="12">
                  <c:v>29.799999999999983</c:v>
                </c:pt>
                <c:pt idx="13">
                  <c:v>30.199999999999982</c:v>
                </c:pt>
                <c:pt idx="14">
                  <c:v>30.59999999999998</c:v>
                </c:pt>
                <c:pt idx="15">
                  <c:v>30.999999999999979</c:v>
                </c:pt>
                <c:pt idx="16">
                  <c:v>31.399999999999977</c:v>
                </c:pt>
                <c:pt idx="17">
                  <c:v>31.799999999999976</c:v>
                </c:pt>
                <c:pt idx="18">
                  <c:v>32.199999999999974</c:v>
                </c:pt>
                <c:pt idx="19">
                  <c:v>32.599999999999973</c:v>
                </c:pt>
                <c:pt idx="20">
                  <c:v>32.999999999999972</c:v>
                </c:pt>
                <c:pt idx="21">
                  <c:v>33.39999999999997</c:v>
                </c:pt>
                <c:pt idx="22">
                  <c:v>33.799999999999969</c:v>
                </c:pt>
                <c:pt idx="23">
                  <c:v>34.199999999999967</c:v>
                </c:pt>
                <c:pt idx="24">
                  <c:v>34.599999999999966</c:v>
                </c:pt>
                <c:pt idx="25">
                  <c:v>34.999999999999964</c:v>
                </c:pt>
                <c:pt idx="26">
                  <c:v>35.399999999999963</c:v>
                </c:pt>
                <c:pt idx="27">
                  <c:v>35.799999999999962</c:v>
                </c:pt>
                <c:pt idx="28">
                  <c:v>36.19999999999996</c:v>
                </c:pt>
                <c:pt idx="29">
                  <c:v>36.599999999999959</c:v>
                </c:pt>
                <c:pt idx="30">
                  <c:v>36.999999999999957</c:v>
                </c:pt>
                <c:pt idx="31">
                  <c:v>37.399999999999956</c:v>
                </c:pt>
                <c:pt idx="32">
                  <c:v>37.799999999999955</c:v>
                </c:pt>
                <c:pt idx="33">
                  <c:v>38.199999999999953</c:v>
                </c:pt>
                <c:pt idx="34">
                  <c:v>38.599999999999952</c:v>
                </c:pt>
                <c:pt idx="35">
                  <c:v>38.99999999999995</c:v>
                </c:pt>
                <c:pt idx="36">
                  <c:v>39.399999999999949</c:v>
                </c:pt>
                <c:pt idx="37">
                  <c:v>39.799999999999947</c:v>
                </c:pt>
                <c:pt idx="38">
                  <c:v>40.199999999999946</c:v>
                </c:pt>
                <c:pt idx="39">
                  <c:v>40.599999999999945</c:v>
                </c:pt>
                <c:pt idx="40">
                  <c:v>40.999999999999943</c:v>
                </c:pt>
                <c:pt idx="41">
                  <c:v>41.399999999999942</c:v>
                </c:pt>
                <c:pt idx="42">
                  <c:v>41.79999999999994</c:v>
                </c:pt>
                <c:pt idx="43">
                  <c:v>42.199999999999939</c:v>
                </c:pt>
                <c:pt idx="44">
                  <c:v>42.599999999999937</c:v>
                </c:pt>
                <c:pt idx="45">
                  <c:v>42.999999999999936</c:v>
                </c:pt>
                <c:pt idx="46">
                  <c:v>43.399999999999935</c:v>
                </c:pt>
                <c:pt idx="47">
                  <c:v>43.799999999999933</c:v>
                </c:pt>
                <c:pt idx="48">
                  <c:v>44.199999999999932</c:v>
                </c:pt>
                <c:pt idx="49">
                  <c:v>44.59999999999993</c:v>
                </c:pt>
                <c:pt idx="50">
                  <c:v>44.999999999999929</c:v>
                </c:pt>
                <c:pt idx="51">
                  <c:v>45.399999999999928</c:v>
                </c:pt>
                <c:pt idx="52">
                  <c:v>45.799999999999926</c:v>
                </c:pt>
                <c:pt idx="53">
                  <c:v>46.199999999999925</c:v>
                </c:pt>
                <c:pt idx="54">
                  <c:v>46.599999999999923</c:v>
                </c:pt>
                <c:pt idx="55">
                  <c:v>46.999999999999922</c:v>
                </c:pt>
                <c:pt idx="56">
                  <c:v>47.39999999999992</c:v>
                </c:pt>
                <c:pt idx="57">
                  <c:v>47.799999999999919</c:v>
                </c:pt>
                <c:pt idx="58">
                  <c:v>48.199999999999918</c:v>
                </c:pt>
                <c:pt idx="59">
                  <c:v>48.599999999999916</c:v>
                </c:pt>
                <c:pt idx="60">
                  <c:v>48.999999999999915</c:v>
                </c:pt>
                <c:pt idx="61">
                  <c:v>49.399999999999913</c:v>
                </c:pt>
                <c:pt idx="62">
                  <c:v>49.799999999999912</c:v>
                </c:pt>
                <c:pt idx="63">
                  <c:v>50.19999999999991</c:v>
                </c:pt>
                <c:pt idx="64">
                  <c:v>50.599999999999909</c:v>
                </c:pt>
                <c:pt idx="65">
                  <c:v>50.999999999999908</c:v>
                </c:pt>
                <c:pt idx="66">
                  <c:v>51.399999999999906</c:v>
                </c:pt>
                <c:pt idx="67">
                  <c:v>51.799999999999905</c:v>
                </c:pt>
                <c:pt idx="68">
                  <c:v>52.199999999999903</c:v>
                </c:pt>
                <c:pt idx="69">
                  <c:v>52.599999999999902</c:v>
                </c:pt>
                <c:pt idx="70">
                  <c:v>52.999999999999901</c:v>
                </c:pt>
                <c:pt idx="71">
                  <c:v>53.399999999999899</c:v>
                </c:pt>
                <c:pt idx="72">
                  <c:v>53.799999999999898</c:v>
                </c:pt>
                <c:pt idx="73">
                  <c:v>54.199999999999896</c:v>
                </c:pt>
                <c:pt idx="74">
                  <c:v>54.599999999999895</c:v>
                </c:pt>
                <c:pt idx="75">
                  <c:v>54.999999999999893</c:v>
                </c:pt>
                <c:pt idx="76">
                  <c:v>55.399999999999892</c:v>
                </c:pt>
                <c:pt idx="77">
                  <c:v>55.799999999999891</c:v>
                </c:pt>
                <c:pt idx="78">
                  <c:v>56.199999999999889</c:v>
                </c:pt>
              </c:numCache>
            </c:numRef>
          </c:xVal>
          <c:yVal>
            <c:numRef>
              <c:f>'data (2)'!$AP$6:$AP$84</c:f>
              <c:numCache>
                <c:formatCode>0.00</c:formatCode>
                <c:ptCount val="79"/>
                <c:pt idx="0">
                  <c:v>6.7321325497033456E-14</c:v>
                </c:pt>
                <c:pt idx="1">
                  <c:v>2.6699256032387483E-13</c:v>
                </c:pt>
                <c:pt idx="2">
                  <c:v>1.0281435285341501E-12</c:v>
                </c:pt>
                <c:pt idx="3">
                  <c:v>3.8442924348322284E-12</c:v>
                </c:pt>
                <c:pt idx="4">
                  <c:v>1.3956842324700127E-11</c:v>
                </c:pt>
                <c:pt idx="5">
                  <c:v>4.9200102980329345E-11</c:v>
                </c:pt>
                <c:pt idx="6">
                  <c:v>1.6840420670366207E-10</c:v>
                </c:pt>
                <c:pt idx="7">
                  <c:v>5.5969051167330992E-10</c:v>
                </c:pt>
                <c:pt idx="8">
                  <c:v>1.8061384470250702E-9</c:v>
                </c:pt>
                <c:pt idx="9">
                  <c:v>5.6592934643814594E-9</c:v>
                </c:pt>
                <c:pt idx="10">
                  <c:v>1.7217951373383029E-8</c:v>
                </c:pt>
                <c:pt idx="11">
                  <c:v>5.0863802399836444E-8</c:v>
                </c:pt>
                <c:pt idx="12">
                  <c:v>1.4589629199414848E-7</c:v>
                </c:pt>
                <c:pt idx="13">
                  <c:v>4.0633830967728361E-7</c:v>
                </c:pt>
                <c:pt idx="14">
                  <c:v>1.0988524213029846E-6</c:v>
                </c:pt>
                <c:pt idx="15">
                  <c:v>2.8853536680508309E-6</c:v>
                </c:pt>
                <c:pt idx="16">
                  <c:v>7.3564251847757181E-6</c:v>
                </c:pt>
                <c:pt idx="17">
                  <c:v>1.8211372421532018E-5</c:v>
                </c:pt>
                <c:pt idx="18">
                  <c:v>4.3775046234489836E-5</c:v>
                </c:pt>
                <c:pt idx="19">
                  <c:v>1.0216888071570054E-4</c:v>
                </c:pt>
                <c:pt idx="20">
                  <c:v>2.3153611518478547E-4</c:v>
                </c:pt>
                <c:pt idx="21">
                  <c:v>5.094797573782226E-4</c:v>
                </c:pt>
                <c:pt idx="22">
                  <c:v>1.0885370334057112E-3</c:v>
                </c:pt>
                <c:pt idx="23">
                  <c:v>2.2582268609095922E-3</c:v>
                </c:pt>
                <c:pt idx="24">
                  <c:v>4.5488332135546206E-3</c:v>
                </c:pt>
                <c:pt idx="25">
                  <c:v>8.8969375538117575E-3</c:v>
                </c:pt>
                <c:pt idx="26">
                  <c:v>1.6896204440355833E-2</c:v>
                </c:pt>
                <c:pt idx="27">
                  <c:v>3.1156298327291061E-2</c:v>
                </c:pt>
                <c:pt idx="28">
                  <c:v>5.5784126365380868E-2</c:v>
                </c:pt>
                <c:pt idx="29">
                  <c:v>9.6980295437579689E-2</c:v>
                </c:pt>
                <c:pt idx="30">
                  <c:v>0.16370594610493377</c:v>
                </c:pt>
                <c:pt idx="31">
                  <c:v>0.268320274667398</c:v>
                </c:pt>
                <c:pt idx="32">
                  <c:v>0.42702235374160136</c:v>
                </c:pt>
                <c:pt idx="33">
                  <c:v>0.65986609583113531</c:v>
                </c:pt>
                <c:pt idx="34">
                  <c:v>0.9900773012024735</c:v>
                </c:pt>
                <c:pt idx="35">
                  <c:v>1.4424158217218381</c:v>
                </c:pt>
                <c:pt idx="36">
                  <c:v>2.0404217090254075</c:v>
                </c:pt>
                <c:pt idx="37">
                  <c:v>2.8025765130774278</c:v>
                </c:pt>
                <c:pt idx="38">
                  <c:v>3.7376885066438787</c:v>
                </c:pt>
                <c:pt idx="39">
                  <c:v>4.840127661270893</c:v>
                </c:pt>
                <c:pt idx="40">
                  <c:v>6.0858131252570864</c:v>
                </c:pt>
                <c:pt idx="41">
                  <c:v>7.4299945109346259</c:v>
                </c:pt>
                <c:pt idx="42">
                  <c:v>8.8077799890348896</c:v>
                </c:pt>
                <c:pt idx="43">
                  <c:v>10.138005141096112</c:v>
                </c:pt>
                <c:pt idx="44">
                  <c:v>11.33043649317953</c:v>
                </c:pt>
                <c:pt idx="45">
                  <c:v>12.295575451632663</c:v>
                </c:pt>
                <c:pt idx="46">
                  <c:v>12.955648657566131</c:v>
                </c:pt>
                <c:pt idx="47">
                  <c:v>13.254933375055948</c:v>
                </c:pt>
                <c:pt idx="48">
                  <c:v>13.167521034356025</c:v>
                </c:pt>
                <c:pt idx="49">
                  <c:v>12.701019327996779</c:v>
                </c:pt>
                <c:pt idx="50">
                  <c:v>11.895459357935687</c:v>
                </c:pt>
                <c:pt idx="51">
                  <c:v>10.817625505982518</c:v>
                </c:pt>
                <c:pt idx="52">
                  <c:v>9.551921663755234</c:v>
                </c:pt>
                <c:pt idx="53">
                  <c:v>8.189504881250727</c:v>
                </c:pt>
                <c:pt idx="54">
                  <c:v>6.8176173888986851</c:v>
                </c:pt>
                <c:pt idx="55">
                  <c:v>5.5108131681459263</c:v>
                </c:pt>
                <c:pt idx="56">
                  <c:v>4.3252063794342703</c:v>
                </c:pt>
                <c:pt idx="57">
                  <c:v>3.2961431658529716</c:v>
                </c:pt>
                <c:pt idx="58">
                  <c:v>2.43900888871757</c:v>
                </c:pt>
                <c:pt idx="59">
                  <c:v>1.7523820011084856</c:v>
                </c:pt>
                <c:pt idx="60">
                  <c:v>1.2225095744071588</c:v>
                </c:pt>
                <c:pt idx="61">
                  <c:v>0.82810201008007456</c:v>
                </c:pt>
                <c:pt idx="62">
                  <c:v>0.54465750590622397</c:v>
                </c:pt>
                <c:pt idx="63">
                  <c:v>0.34783335974500268</c:v>
                </c:pt>
                <c:pt idx="64">
                  <c:v>0.21568853208770522</c:v>
                </c:pt>
                <c:pt idx="65">
                  <c:v>0.12986465387953211</c:v>
                </c:pt>
                <c:pt idx="66">
                  <c:v>7.5921180864059939E-2</c:v>
                </c:pt>
                <c:pt idx="67">
                  <c:v>4.3096602183438387E-2</c:v>
                </c:pt>
                <c:pt idx="68">
                  <c:v>2.375369588165719E-2</c:v>
                </c:pt>
                <c:pt idx="69">
                  <c:v>1.2712396713155263E-2</c:v>
                </c:pt>
                <c:pt idx="70">
                  <c:v>6.605896534997182E-3</c:v>
                </c:pt>
                <c:pt idx="71">
                  <c:v>3.3330680581414771E-3</c:v>
                </c:pt>
                <c:pt idx="72">
                  <c:v>1.6329191433960312E-3</c:v>
                </c:pt>
                <c:pt idx="73">
                  <c:v>7.7677146602837777E-4</c:v>
                </c:pt>
                <c:pt idx="74">
                  <c:v>3.5878140939507201E-4</c:v>
                </c:pt>
                <c:pt idx="75">
                  <c:v>1.6090690589843238E-4</c:v>
                </c:pt>
                <c:pt idx="76">
                  <c:v>7.0069258317567948E-5</c:v>
                </c:pt>
                <c:pt idx="77">
                  <c:v>2.962705213277904E-5</c:v>
                </c:pt>
                <c:pt idx="78">
                  <c:v>1.2163468851548047E-5</c:v>
                </c:pt>
              </c:numCache>
            </c:numRef>
          </c:yVal>
        </c:ser>
        <c:ser>
          <c:idx val="3"/>
          <c:order val="3"/>
          <c:tx>
            <c:v>GAUSSIAN FIT EURING 6</c:v>
          </c:tx>
          <c:spPr>
            <a:ln w="15875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'data (2)'!$AO$6:$AO$84</c:f>
              <c:numCache>
                <c:formatCode>0.00</c:formatCode>
                <c:ptCount val="79"/>
                <c:pt idx="0">
                  <c:v>25</c:v>
                </c:pt>
                <c:pt idx="1">
                  <c:v>25.4</c:v>
                </c:pt>
                <c:pt idx="2">
                  <c:v>25.799999999999997</c:v>
                </c:pt>
                <c:pt idx="3">
                  <c:v>26.199999999999996</c:v>
                </c:pt>
                <c:pt idx="4">
                  <c:v>26.599999999999994</c:v>
                </c:pt>
                <c:pt idx="5">
                  <c:v>26.999999999999993</c:v>
                </c:pt>
                <c:pt idx="6">
                  <c:v>27.399999999999991</c:v>
                </c:pt>
                <c:pt idx="7">
                  <c:v>27.79999999999999</c:v>
                </c:pt>
                <c:pt idx="8">
                  <c:v>28.199999999999989</c:v>
                </c:pt>
                <c:pt idx="9">
                  <c:v>28.599999999999987</c:v>
                </c:pt>
                <c:pt idx="10">
                  <c:v>28.999999999999986</c:v>
                </c:pt>
                <c:pt idx="11">
                  <c:v>29.399999999999984</c:v>
                </c:pt>
                <c:pt idx="12">
                  <c:v>29.799999999999983</c:v>
                </c:pt>
                <c:pt idx="13">
                  <c:v>30.199999999999982</c:v>
                </c:pt>
                <c:pt idx="14">
                  <c:v>30.59999999999998</c:v>
                </c:pt>
                <c:pt idx="15">
                  <c:v>30.999999999999979</c:v>
                </c:pt>
                <c:pt idx="16">
                  <c:v>31.399999999999977</c:v>
                </c:pt>
                <c:pt idx="17">
                  <c:v>31.799999999999976</c:v>
                </c:pt>
                <c:pt idx="18">
                  <c:v>32.199999999999974</c:v>
                </c:pt>
                <c:pt idx="19">
                  <c:v>32.599999999999973</c:v>
                </c:pt>
                <c:pt idx="20">
                  <c:v>32.999999999999972</c:v>
                </c:pt>
                <c:pt idx="21">
                  <c:v>33.39999999999997</c:v>
                </c:pt>
                <c:pt idx="22">
                  <c:v>33.799999999999969</c:v>
                </c:pt>
                <c:pt idx="23">
                  <c:v>34.199999999999967</c:v>
                </c:pt>
                <c:pt idx="24">
                  <c:v>34.599999999999966</c:v>
                </c:pt>
                <c:pt idx="25">
                  <c:v>34.999999999999964</c:v>
                </c:pt>
                <c:pt idx="26">
                  <c:v>35.399999999999963</c:v>
                </c:pt>
                <c:pt idx="27">
                  <c:v>35.799999999999962</c:v>
                </c:pt>
                <c:pt idx="28">
                  <c:v>36.19999999999996</c:v>
                </c:pt>
                <c:pt idx="29">
                  <c:v>36.599999999999959</c:v>
                </c:pt>
                <c:pt idx="30">
                  <c:v>36.999999999999957</c:v>
                </c:pt>
                <c:pt idx="31">
                  <c:v>37.399999999999956</c:v>
                </c:pt>
                <c:pt idx="32">
                  <c:v>37.799999999999955</c:v>
                </c:pt>
                <c:pt idx="33">
                  <c:v>38.199999999999953</c:v>
                </c:pt>
                <c:pt idx="34">
                  <c:v>38.599999999999952</c:v>
                </c:pt>
                <c:pt idx="35">
                  <c:v>38.99999999999995</c:v>
                </c:pt>
                <c:pt idx="36">
                  <c:v>39.399999999999949</c:v>
                </c:pt>
                <c:pt idx="37">
                  <c:v>39.799999999999947</c:v>
                </c:pt>
                <c:pt idx="38">
                  <c:v>40.199999999999946</c:v>
                </c:pt>
                <c:pt idx="39">
                  <c:v>40.599999999999945</c:v>
                </c:pt>
                <c:pt idx="40">
                  <c:v>40.999999999999943</c:v>
                </c:pt>
                <c:pt idx="41">
                  <c:v>41.399999999999942</c:v>
                </c:pt>
                <c:pt idx="42">
                  <c:v>41.79999999999994</c:v>
                </c:pt>
                <c:pt idx="43">
                  <c:v>42.199999999999939</c:v>
                </c:pt>
                <c:pt idx="44">
                  <c:v>42.599999999999937</c:v>
                </c:pt>
                <c:pt idx="45">
                  <c:v>42.999999999999936</c:v>
                </c:pt>
                <c:pt idx="46">
                  <c:v>43.399999999999935</c:v>
                </c:pt>
                <c:pt idx="47">
                  <c:v>43.799999999999933</c:v>
                </c:pt>
                <c:pt idx="48">
                  <c:v>44.199999999999932</c:v>
                </c:pt>
                <c:pt idx="49">
                  <c:v>44.59999999999993</c:v>
                </c:pt>
                <c:pt idx="50">
                  <c:v>44.999999999999929</c:v>
                </c:pt>
                <c:pt idx="51">
                  <c:v>45.399999999999928</c:v>
                </c:pt>
                <c:pt idx="52">
                  <c:v>45.799999999999926</c:v>
                </c:pt>
                <c:pt idx="53">
                  <c:v>46.199999999999925</c:v>
                </c:pt>
                <c:pt idx="54">
                  <c:v>46.599999999999923</c:v>
                </c:pt>
                <c:pt idx="55">
                  <c:v>46.999999999999922</c:v>
                </c:pt>
                <c:pt idx="56">
                  <c:v>47.39999999999992</c:v>
                </c:pt>
                <c:pt idx="57">
                  <c:v>47.799999999999919</c:v>
                </c:pt>
                <c:pt idx="58">
                  <c:v>48.199999999999918</c:v>
                </c:pt>
                <c:pt idx="59">
                  <c:v>48.599999999999916</c:v>
                </c:pt>
                <c:pt idx="60">
                  <c:v>48.999999999999915</c:v>
                </c:pt>
                <c:pt idx="61">
                  <c:v>49.399999999999913</c:v>
                </c:pt>
                <c:pt idx="62">
                  <c:v>49.799999999999912</c:v>
                </c:pt>
                <c:pt idx="63">
                  <c:v>50.19999999999991</c:v>
                </c:pt>
                <c:pt idx="64">
                  <c:v>50.599999999999909</c:v>
                </c:pt>
                <c:pt idx="65">
                  <c:v>50.999999999999908</c:v>
                </c:pt>
                <c:pt idx="66">
                  <c:v>51.399999999999906</c:v>
                </c:pt>
                <c:pt idx="67">
                  <c:v>51.799999999999905</c:v>
                </c:pt>
                <c:pt idx="68">
                  <c:v>52.199999999999903</c:v>
                </c:pt>
                <c:pt idx="69">
                  <c:v>52.599999999999902</c:v>
                </c:pt>
                <c:pt idx="70">
                  <c:v>52.999999999999901</c:v>
                </c:pt>
                <c:pt idx="71">
                  <c:v>53.399999999999899</c:v>
                </c:pt>
                <c:pt idx="72">
                  <c:v>53.799999999999898</c:v>
                </c:pt>
                <c:pt idx="73">
                  <c:v>54.199999999999896</c:v>
                </c:pt>
                <c:pt idx="74">
                  <c:v>54.599999999999895</c:v>
                </c:pt>
                <c:pt idx="75">
                  <c:v>54.999999999999893</c:v>
                </c:pt>
                <c:pt idx="76">
                  <c:v>55.399999999999892</c:v>
                </c:pt>
                <c:pt idx="77">
                  <c:v>55.799999999999891</c:v>
                </c:pt>
                <c:pt idx="78">
                  <c:v>56.199999999999889</c:v>
                </c:pt>
              </c:numCache>
            </c:numRef>
          </c:xVal>
          <c:yVal>
            <c:numRef>
              <c:f>'data (2)'!$AQ$6:$AQ$84</c:f>
              <c:numCache>
                <c:formatCode>0.00</c:formatCode>
                <c:ptCount val="79"/>
                <c:pt idx="0">
                  <c:v>2.7605071401963841E-22</c:v>
                </c:pt>
                <c:pt idx="1">
                  <c:v>2.7580433656612769E-21</c:v>
                </c:pt>
                <c:pt idx="2">
                  <c:v>2.6148977960347779E-20</c:v>
                </c:pt>
                <c:pt idx="3">
                  <c:v>2.352609034700789E-19</c:v>
                </c:pt>
                <c:pt idx="4">
                  <c:v>2.0085664995000086E-18</c:v>
                </c:pt>
                <c:pt idx="5">
                  <c:v>1.6272867273509525E-17</c:v>
                </c:pt>
                <c:pt idx="6">
                  <c:v>1.2510750480817926E-16</c:v>
                </c:pt>
                <c:pt idx="7">
                  <c:v>9.1273363635869722E-16</c:v>
                </c:pt>
                <c:pt idx="8">
                  <c:v>6.3189680814203028E-15</c:v>
                </c:pt>
                <c:pt idx="9">
                  <c:v>4.1513531579090219E-14</c:v>
                </c:pt>
                <c:pt idx="10">
                  <c:v>2.5880616207986893E-13</c:v>
                </c:pt>
                <c:pt idx="11">
                  <c:v>1.5310908366712617E-12</c:v>
                </c:pt>
                <c:pt idx="12">
                  <c:v>8.5954519134743178E-12</c:v>
                </c:pt>
                <c:pt idx="13">
                  <c:v>4.5790763584947761E-11</c:v>
                </c:pt>
                <c:pt idx="14">
                  <c:v>2.3148799279485222E-10</c:v>
                </c:pt>
                <c:pt idx="15">
                  <c:v>1.1105048655377262E-9</c:v>
                </c:pt>
                <c:pt idx="16">
                  <c:v>5.0553808045599483E-9</c:v>
                </c:pt>
                <c:pt idx="17">
                  <c:v>2.1838796295644008E-8</c:v>
                </c:pt>
                <c:pt idx="18">
                  <c:v>8.9525124282608112E-8</c:v>
                </c:pt>
                <c:pt idx="19">
                  <c:v>3.482591861024249E-7</c:v>
                </c:pt>
                <c:pt idx="20">
                  <c:v>1.2855875021090667E-6</c:v>
                </c:pt>
                <c:pt idx="21">
                  <c:v>4.5034165106999397E-6</c:v>
                </c:pt>
                <c:pt idx="22">
                  <c:v>1.4970075911327438E-5</c:v>
                </c:pt>
                <c:pt idx="23">
                  <c:v>4.7222318101067212E-5</c:v>
                </c:pt>
                <c:pt idx="24">
                  <c:v>1.4135527345830761E-4</c:v>
                </c:pt>
                <c:pt idx="25">
                  <c:v>4.0153013121278563E-4</c:v>
                </c:pt>
                <c:pt idx="26">
                  <c:v>1.0823449103722627E-3</c:v>
                </c:pt>
                <c:pt idx="27">
                  <c:v>2.7685644035269842E-3</c:v>
                </c:pt>
                <c:pt idx="28">
                  <c:v>6.720243277116825E-3</c:v>
                </c:pt>
                <c:pt idx="29">
                  <c:v>1.5479494434009033E-2</c:v>
                </c:pt>
                <c:pt idx="30">
                  <c:v>3.3835294628971932E-2</c:v>
                </c:pt>
                <c:pt idx="31">
                  <c:v>7.0181810182083554E-2</c:v>
                </c:pt>
                <c:pt idx="32">
                  <c:v>0.1381403594405993</c:v>
                </c:pt>
                <c:pt idx="33">
                  <c:v>0.25802275655163992</c:v>
                </c:pt>
                <c:pt idx="34">
                  <c:v>0.45733754118743974</c:v>
                </c:pt>
                <c:pt idx="35">
                  <c:v>0.76923158327083041</c:v>
                </c:pt>
                <c:pt idx="36">
                  <c:v>1.2277749687992277</c:v>
                </c:pt>
                <c:pt idx="37">
                  <c:v>1.8596099257555341</c:v>
                </c:pt>
                <c:pt idx="38">
                  <c:v>2.6727993013387277</c:v>
                </c:pt>
                <c:pt idx="39">
                  <c:v>3.6454593139269718</c:v>
                </c:pt>
                <c:pt idx="40">
                  <c:v>4.7182350761416254</c:v>
                </c:pt>
                <c:pt idx="41">
                  <c:v>5.7949315065451197</c:v>
                </c:pt>
                <c:pt idx="42">
                  <c:v>6.7539595043992682</c:v>
                </c:pt>
                <c:pt idx="43">
                  <c:v>7.4698178274528795</c:v>
                </c:pt>
                <c:pt idx="44">
                  <c:v>7.8397638578953641</c:v>
                </c:pt>
                <c:pt idx="45">
                  <c:v>7.8079561456301736</c:v>
                </c:pt>
                <c:pt idx="46">
                  <c:v>7.3792659426534604</c:v>
                </c:pt>
                <c:pt idx="47">
                  <c:v>6.6180549987334292</c:v>
                </c:pt>
                <c:pt idx="48">
                  <c:v>5.632341702500268</c:v>
                </c:pt>
                <c:pt idx="49">
                  <c:v>4.5487181770738827</c:v>
                </c:pt>
                <c:pt idx="50">
                  <c:v>3.4860248511405163</c:v>
                </c:pt>
                <c:pt idx="51">
                  <c:v>2.535206503115996</c:v>
                </c:pt>
                <c:pt idx="52">
                  <c:v>1.7495953450006934</c:v>
                </c:pt>
                <c:pt idx="53">
                  <c:v>1.1457854469047728</c:v>
                </c:pt>
                <c:pt idx="54">
                  <c:v>0.71204985439090651</c:v>
                </c:pt>
                <c:pt idx="55">
                  <c:v>0.41991260838187155</c:v>
                </c:pt>
                <c:pt idx="56">
                  <c:v>0.23498970769907362</c:v>
                </c:pt>
                <c:pt idx="57">
                  <c:v>0.12479011357091352</c:v>
                </c:pt>
                <c:pt idx="58">
                  <c:v>6.2885849469759517E-2</c:v>
                </c:pt>
                <c:pt idx="59">
                  <c:v>3.0072331250609711E-2</c:v>
                </c:pt>
                <c:pt idx="60">
                  <c:v>1.3646543823566486E-2</c:v>
                </c:pt>
                <c:pt idx="61">
                  <c:v>5.8765125067488317E-3</c:v>
                </c:pt>
                <c:pt idx="62">
                  <c:v>2.4013644016750752E-3</c:v>
                </c:pt>
                <c:pt idx="63">
                  <c:v>9.3118910206821945E-4</c:v>
                </c:pt>
                <c:pt idx="64">
                  <c:v>3.4265661002809438E-4</c:v>
                </c:pt>
                <c:pt idx="65">
                  <c:v>1.1965249424779375E-4</c:v>
                </c:pt>
                <c:pt idx="66">
                  <c:v>3.9648413257977152E-5</c:v>
                </c:pt>
                <c:pt idx="67">
                  <c:v>1.246726754560527E-5</c:v>
                </c:pt>
                <c:pt idx="68">
                  <c:v>3.7201303758710797E-6</c:v>
                </c:pt>
                <c:pt idx="69">
                  <c:v>1.0533833617145212E-6</c:v>
                </c:pt>
                <c:pt idx="70">
                  <c:v>2.8304543908105783E-7</c:v>
                </c:pt>
                <c:pt idx="71">
                  <c:v>7.2171757449703064E-8</c:v>
                </c:pt>
                <c:pt idx="72">
                  <c:v>1.7463038583401047E-8</c:v>
                </c:pt>
                <c:pt idx="73">
                  <c:v>4.0097173442328977E-9</c:v>
                </c:pt>
                <c:pt idx="74">
                  <c:v>8.7367340860286603E-10</c:v>
                </c:pt>
                <c:pt idx="75">
                  <c:v>1.8064497652988628E-10</c:v>
                </c:pt>
                <c:pt idx="76">
                  <c:v>3.5444109802673755E-11</c:v>
                </c:pt>
                <c:pt idx="77">
                  <c:v>6.5993881182942293E-12</c:v>
                </c:pt>
                <c:pt idx="78">
                  <c:v>1.1660164586532847E-12</c:v>
                </c:pt>
              </c:numCache>
            </c:numRef>
          </c:yVal>
        </c:ser>
        <c:axId val="119887744"/>
        <c:axId val="119914496"/>
      </c:scatterChart>
      <c:valAx>
        <c:axId val="119887744"/>
        <c:scaling>
          <c:orientation val="minMax"/>
          <c:min val="20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sz="1200"/>
                  <a:t>HUE</a:t>
                </a:r>
                <a:r>
                  <a:rPr lang="en-US" sz="1200" baseline="0"/>
                  <a:t> value</a:t>
                </a:r>
                <a:endParaRPr lang="en-US" sz="1050"/>
              </a:p>
            </c:rich>
          </c:tx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914496"/>
        <c:crosses val="autoZero"/>
        <c:crossBetween val="midCat"/>
      </c:valAx>
      <c:valAx>
        <c:axId val="119914496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 sz="1200"/>
                  <a:t>Frequency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887744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099471135883459"/>
          <c:y val="0.21880337948120199"/>
          <c:w val="0.19322097777066186"/>
          <c:h val="0.17966123516653404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7.9130156430758061E-2"/>
          <c:y val="3.6467140752692251E-2"/>
          <c:w val="0.83999873172455064"/>
          <c:h val="0.84423286930009978"/>
        </c:manualLayout>
      </c:layout>
      <c:scatterChart>
        <c:scatterStyle val="lineMarker"/>
        <c:ser>
          <c:idx val="0"/>
          <c:order val="0"/>
          <c:tx>
            <c:v>EURING 5</c:v>
          </c:tx>
          <c:spPr>
            <a:ln w="28575">
              <a:noFill/>
            </a:ln>
          </c:spPr>
          <c:marker>
            <c:symbol val="x"/>
            <c:size val="7"/>
            <c:spPr>
              <a:ln w="22225">
                <a:solidFill>
                  <a:sysClr val="windowText" lastClr="000000"/>
                </a:solidFill>
              </a:ln>
            </c:spPr>
          </c:marker>
          <c:xVal>
            <c:numRef>
              <c:f>'data (2)'!$AU$6:$AU$17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0.54999999999999993</c:v>
                </c:pt>
                <c:pt idx="6">
                  <c:v>0.6</c:v>
                </c:pt>
                <c:pt idx="7">
                  <c:v>0.65</c:v>
                </c:pt>
                <c:pt idx="8">
                  <c:v>0.70000000000000007</c:v>
                </c:pt>
                <c:pt idx="9">
                  <c:v>0.75000000000000011</c:v>
                </c:pt>
                <c:pt idx="10">
                  <c:v>0.80000000000000016</c:v>
                </c:pt>
                <c:pt idx="11">
                  <c:v>0.8500000000000002</c:v>
                </c:pt>
              </c:numCache>
            </c:numRef>
          </c:xVal>
          <c:yVal>
            <c:numRef>
              <c:f>'data (2)'!$AV$6:$AV$17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10</c:v>
                </c:pt>
                <c:pt idx="6">
                  <c:v>6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</c:ser>
        <c:ser>
          <c:idx val="1"/>
          <c:order val="1"/>
          <c:tx>
            <c:v>EURING 6</c:v>
          </c:tx>
          <c:spPr>
            <a:ln>
              <a:noFill/>
            </a:ln>
          </c:spPr>
          <c:xVal>
            <c:numRef>
              <c:f>'data (2)'!$AU$6:$AU$17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0.54999999999999993</c:v>
                </c:pt>
                <c:pt idx="6">
                  <c:v>0.6</c:v>
                </c:pt>
                <c:pt idx="7">
                  <c:v>0.65</c:v>
                </c:pt>
                <c:pt idx="8">
                  <c:v>0.70000000000000007</c:v>
                </c:pt>
                <c:pt idx="9">
                  <c:v>0.75000000000000011</c:v>
                </c:pt>
                <c:pt idx="10">
                  <c:v>0.80000000000000016</c:v>
                </c:pt>
                <c:pt idx="11">
                  <c:v>0.8500000000000002</c:v>
                </c:pt>
              </c:numCache>
            </c:numRef>
          </c:xVal>
          <c:yVal>
            <c:numRef>
              <c:f>'data (2)'!$AW$6:$AW$17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</c:ser>
        <c:ser>
          <c:idx val="2"/>
          <c:order val="2"/>
          <c:tx>
            <c:v>GAUSSIAN FIT EURING 5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(2)'!$AZ$6:$AZ$76</c:f>
              <c:numCache>
                <c:formatCode>General</c:formatCode>
                <c:ptCount val="71"/>
                <c:pt idx="0">
                  <c:v>0.2</c:v>
                </c:pt>
                <c:pt idx="1">
                  <c:v>0.21000000000000002</c:v>
                </c:pt>
                <c:pt idx="2">
                  <c:v>0.22000000000000003</c:v>
                </c:pt>
                <c:pt idx="3">
                  <c:v>0.23000000000000004</c:v>
                </c:pt>
                <c:pt idx="4">
                  <c:v>0.24000000000000005</c:v>
                </c:pt>
                <c:pt idx="5">
                  <c:v>0.25000000000000006</c:v>
                </c:pt>
                <c:pt idx="6">
                  <c:v>0.26000000000000006</c:v>
                </c:pt>
                <c:pt idx="7">
                  <c:v>0.27000000000000007</c:v>
                </c:pt>
                <c:pt idx="8">
                  <c:v>0.28000000000000008</c:v>
                </c:pt>
                <c:pt idx="9">
                  <c:v>0.29000000000000009</c:v>
                </c:pt>
                <c:pt idx="10">
                  <c:v>0.3000000000000001</c:v>
                </c:pt>
                <c:pt idx="11">
                  <c:v>0.31000000000000011</c:v>
                </c:pt>
                <c:pt idx="12">
                  <c:v>0.32000000000000012</c:v>
                </c:pt>
                <c:pt idx="13">
                  <c:v>0.33000000000000013</c:v>
                </c:pt>
                <c:pt idx="14">
                  <c:v>0.34000000000000014</c:v>
                </c:pt>
                <c:pt idx="15">
                  <c:v>0.35000000000000014</c:v>
                </c:pt>
                <c:pt idx="16">
                  <c:v>0.36000000000000015</c:v>
                </c:pt>
                <c:pt idx="17">
                  <c:v>0.37000000000000016</c:v>
                </c:pt>
                <c:pt idx="18">
                  <c:v>0.38000000000000017</c:v>
                </c:pt>
                <c:pt idx="19">
                  <c:v>0.39000000000000018</c:v>
                </c:pt>
                <c:pt idx="20">
                  <c:v>0.40000000000000019</c:v>
                </c:pt>
                <c:pt idx="21">
                  <c:v>0.4100000000000002</c:v>
                </c:pt>
                <c:pt idx="22">
                  <c:v>0.42000000000000021</c:v>
                </c:pt>
                <c:pt idx="23">
                  <c:v>0.43000000000000022</c:v>
                </c:pt>
                <c:pt idx="24">
                  <c:v>0.44000000000000022</c:v>
                </c:pt>
                <c:pt idx="25">
                  <c:v>0.45000000000000023</c:v>
                </c:pt>
                <c:pt idx="26">
                  <c:v>0.46000000000000024</c:v>
                </c:pt>
                <c:pt idx="27">
                  <c:v>0.47000000000000025</c:v>
                </c:pt>
                <c:pt idx="28">
                  <c:v>0.48000000000000026</c:v>
                </c:pt>
                <c:pt idx="29">
                  <c:v>0.49000000000000027</c:v>
                </c:pt>
                <c:pt idx="30">
                  <c:v>0.50000000000000022</c:v>
                </c:pt>
                <c:pt idx="31">
                  <c:v>0.51000000000000023</c:v>
                </c:pt>
                <c:pt idx="32">
                  <c:v>0.52000000000000024</c:v>
                </c:pt>
                <c:pt idx="33">
                  <c:v>0.53000000000000025</c:v>
                </c:pt>
                <c:pt idx="34">
                  <c:v>0.54000000000000026</c:v>
                </c:pt>
                <c:pt idx="35">
                  <c:v>0.55000000000000027</c:v>
                </c:pt>
                <c:pt idx="36">
                  <c:v>0.56000000000000028</c:v>
                </c:pt>
                <c:pt idx="37">
                  <c:v>0.57000000000000028</c:v>
                </c:pt>
                <c:pt idx="38">
                  <c:v>0.58000000000000029</c:v>
                </c:pt>
                <c:pt idx="39">
                  <c:v>0.5900000000000003</c:v>
                </c:pt>
                <c:pt idx="40">
                  <c:v>0.60000000000000031</c:v>
                </c:pt>
                <c:pt idx="41">
                  <c:v>0.61000000000000032</c:v>
                </c:pt>
                <c:pt idx="42">
                  <c:v>0.62000000000000033</c:v>
                </c:pt>
                <c:pt idx="43">
                  <c:v>0.63000000000000034</c:v>
                </c:pt>
                <c:pt idx="44">
                  <c:v>0.64000000000000035</c:v>
                </c:pt>
                <c:pt idx="45">
                  <c:v>0.65000000000000036</c:v>
                </c:pt>
                <c:pt idx="46">
                  <c:v>0.66000000000000036</c:v>
                </c:pt>
                <c:pt idx="47">
                  <c:v>0.67000000000000037</c:v>
                </c:pt>
                <c:pt idx="48">
                  <c:v>0.68000000000000038</c:v>
                </c:pt>
                <c:pt idx="49">
                  <c:v>0.69000000000000039</c:v>
                </c:pt>
                <c:pt idx="50">
                  <c:v>0.7000000000000004</c:v>
                </c:pt>
                <c:pt idx="51">
                  <c:v>0.71000000000000041</c:v>
                </c:pt>
                <c:pt idx="52">
                  <c:v>0.72000000000000042</c:v>
                </c:pt>
                <c:pt idx="53">
                  <c:v>0.73000000000000043</c:v>
                </c:pt>
                <c:pt idx="54">
                  <c:v>0.74000000000000044</c:v>
                </c:pt>
                <c:pt idx="55">
                  <c:v>0.75000000000000044</c:v>
                </c:pt>
                <c:pt idx="56">
                  <c:v>0.76000000000000045</c:v>
                </c:pt>
                <c:pt idx="57">
                  <c:v>0.77000000000000046</c:v>
                </c:pt>
                <c:pt idx="58">
                  <c:v>0.78000000000000047</c:v>
                </c:pt>
                <c:pt idx="59">
                  <c:v>0.79000000000000048</c:v>
                </c:pt>
                <c:pt idx="60">
                  <c:v>0.80000000000000049</c:v>
                </c:pt>
                <c:pt idx="61">
                  <c:v>0.8100000000000005</c:v>
                </c:pt>
                <c:pt idx="62">
                  <c:v>0.82000000000000051</c:v>
                </c:pt>
                <c:pt idx="63">
                  <c:v>0.83000000000000052</c:v>
                </c:pt>
                <c:pt idx="64">
                  <c:v>0.84000000000000052</c:v>
                </c:pt>
                <c:pt idx="65">
                  <c:v>0.85000000000000053</c:v>
                </c:pt>
                <c:pt idx="66">
                  <c:v>0.86000000000000054</c:v>
                </c:pt>
                <c:pt idx="67">
                  <c:v>0.87000000000000055</c:v>
                </c:pt>
                <c:pt idx="68">
                  <c:v>0.88000000000000056</c:v>
                </c:pt>
                <c:pt idx="69">
                  <c:v>0.89000000000000057</c:v>
                </c:pt>
                <c:pt idx="70">
                  <c:v>0.90000000000000058</c:v>
                </c:pt>
              </c:numCache>
            </c:numRef>
          </c:xVal>
          <c:yVal>
            <c:numRef>
              <c:f>'data (2)'!$BA$6:$BA$76</c:f>
              <c:numCache>
                <c:formatCode>0.00</c:formatCode>
                <c:ptCount val="71"/>
                <c:pt idx="0">
                  <c:v>3.7925184881403499E-25</c:v>
                </c:pt>
                <c:pt idx="1">
                  <c:v>1.1257552042372354E-23</c:v>
                </c:pt>
                <c:pt idx="2">
                  <c:v>3.0212978849920897E-22</c:v>
                </c:pt>
                <c:pt idx="3">
                  <c:v>7.3312234489892265E-21</c:v>
                </c:pt>
                <c:pt idx="4">
                  <c:v>1.6083949215071925E-19</c:v>
                </c:pt>
                <c:pt idx="5">
                  <c:v>3.190378840695822E-18</c:v>
                </c:pt>
                <c:pt idx="6">
                  <c:v>5.7217008288081762E-17</c:v>
                </c:pt>
                <c:pt idx="7">
                  <c:v>9.2777221571140333E-16</c:v>
                </c:pt>
                <c:pt idx="8">
                  <c:v>1.3601628392380305E-14</c:v>
                </c:pt>
                <c:pt idx="9">
                  <c:v>1.8029088682487829E-13</c:v>
                </c:pt>
                <c:pt idx="10">
                  <c:v>2.1606776078242298E-12</c:v>
                </c:pt>
                <c:pt idx="11">
                  <c:v>2.341205274861099E-11</c:v>
                </c:pt>
                <c:pt idx="12">
                  <c:v>2.2936246284455625E-10</c:v>
                </c:pt>
                <c:pt idx="13">
                  <c:v>2.0316014743196236E-9</c:v>
                </c:pt>
                <c:pt idx="14">
                  <c:v>1.6270017569725138E-8</c:v>
                </c:pt>
                <c:pt idx="15">
                  <c:v>1.1780693339922498E-7</c:v>
                </c:pt>
                <c:pt idx="16">
                  <c:v>7.7123549112417124E-7</c:v>
                </c:pt>
                <c:pt idx="17">
                  <c:v>4.5649548804531001E-6</c:v>
                </c:pt>
                <c:pt idx="18">
                  <c:v>2.4429765509655075E-5</c:v>
                </c:pt>
                <c:pt idx="19">
                  <c:v>1.1820488750938426E-4</c:v>
                </c:pt>
                <c:pt idx="20">
                  <c:v>5.1711233366159013E-4</c:v>
                </c:pt>
                <c:pt idx="21">
                  <c:v>2.0453502354687266E-3</c:v>
                </c:pt>
                <c:pt idx="22">
                  <c:v>7.3144857904246345E-3</c:v>
                </c:pt>
                <c:pt idx="23">
                  <c:v>2.3650114224272788E-2</c:v>
                </c:pt>
                <c:pt idx="24">
                  <c:v>6.9137872485273519E-2</c:v>
                </c:pt>
                <c:pt idx="25">
                  <c:v>0.18273936293505449</c:v>
                </c:pt>
                <c:pt idx="26">
                  <c:v>0.43669832728407731</c:v>
                </c:pt>
                <c:pt idx="27">
                  <c:v>0.94354860503232418</c:v>
                </c:pt>
                <c:pt idx="28">
                  <c:v>1.843233487451355</c:v>
                </c:pt>
                <c:pt idx="29">
                  <c:v>3.2555903587297621</c:v>
                </c:pt>
                <c:pt idx="30">
                  <c:v>5.198912186826206</c:v>
                </c:pt>
                <c:pt idx="31">
                  <c:v>7.5063452708745206</c:v>
                </c:pt>
                <c:pt idx="32">
                  <c:v>9.7989133742928534</c:v>
                </c:pt>
                <c:pt idx="33">
                  <c:v>11.565399165073767</c:v>
                </c:pt>
                <c:pt idx="34">
                  <c:v>12.341747621500245</c:v>
                </c:pt>
                <c:pt idx="35">
                  <c:v>11.907648945240451</c:v>
                </c:pt>
                <c:pt idx="36">
                  <c:v>10.387444358769555</c:v>
                </c:pt>
                <c:pt idx="37">
                  <c:v>8.1926560994595086</c:v>
                </c:pt>
                <c:pt idx="38">
                  <c:v>5.8421683303579464</c:v>
                </c:pt>
                <c:pt idx="39">
                  <c:v>3.7666627215165378</c:v>
                </c:pt>
                <c:pt idx="40">
                  <c:v>2.1956986165657857</c:v>
                </c:pt>
                <c:pt idx="41">
                  <c:v>1.1572363030252788</c:v>
                </c:pt>
                <c:pt idx="42">
                  <c:v>0.55144816610178526</c:v>
                </c:pt>
                <c:pt idx="43">
                  <c:v>0.23758590433385396</c:v>
                </c:pt>
                <c:pt idx="44">
                  <c:v>9.2548625195534723E-2</c:v>
                </c:pt>
                <c:pt idx="45">
                  <c:v>3.25951211146773E-2</c:v>
                </c:pt>
                <c:pt idx="46">
                  <c:v>1.0379311668705333E-2</c:v>
                </c:pt>
                <c:pt idx="47">
                  <c:v>2.9882562305289942E-3</c:v>
                </c:pt>
                <c:pt idx="48">
                  <c:v>7.7785821178682699E-4</c:v>
                </c:pt>
                <c:pt idx="49">
                  <c:v>1.8306965988589861E-4</c:v>
                </c:pt>
                <c:pt idx="50">
                  <c:v>3.8955217643388211E-5</c:v>
                </c:pt>
                <c:pt idx="51">
                  <c:v>7.4945959166202994E-6</c:v>
                </c:pt>
                <c:pt idx="52">
                  <c:v>1.3036593858432322E-6</c:v>
                </c:pt>
                <c:pt idx="53">
                  <c:v>2.0502809474748463E-7</c:v>
                </c:pt>
                <c:pt idx="54">
                  <c:v>2.9153851869602729E-8</c:v>
                </c:pt>
                <c:pt idx="55">
                  <c:v>3.7481057548767704E-9</c:v>
                </c:pt>
                <c:pt idx="56">
                  <c:v>4.3567341139536053E-10</c:v>
                </c:pt>
                <c:pt idx="57">
                  <c:v>4.5787149055041076E-11</c:v>
                </c:pt>
                <c:pt idx="58">
                  <c:v>4.3507033900861018E-12</c:v>
                </c:pt>
                <c:pt idx="59">
                  <c:v>3.7377364526353919E-13</c:v>
                </c:pt>
                <c:pt idx="60">
                  <c:v>2.903295243147075E-14</c:v>
                </c:pt>
                <c:pt idx="61">
                  <c:v>2.0389522519332584E-15</c:v>
                </c:pt>
                <c:pt idx="62">
                  <c:v>1.2946615057684126E-16</c:v>
                </c:pt>
                <c:pt idx="63">
                  <c:v>7.4325654390446847E-18</c:v>
                </c:pt>
                <c:pt idx="64">
                  <c:v>3.8579320531639938E-19</c:v>
                </c:pt>
                <c:pt idx="65">
                  <c:v>1.8105216981457523E-20</c:v>
                </c:pt>
                <c:pt idx="66">
                  <c:v>7.6822108006661788E-22</c:v>
                </c:pt>
                <c:pt idx="67">
                  <c:v>2.9471485902045295E-23</c:v>
                </c:pt>
                <c:pt idx="68">
                  <c:v>1.0222360016567158E-24</c:v>
                </c:pt>
                <c:pt idx="69">
                  <c:v>3.2057794308683484E-26</c:v>
                </c:pt>
                <c:pt idx="70">
                  <c:v>9.0896975034987024E-28</c:v>
                </c:pt>
              </c:numCache>
            </c:numRef>
          </c:yVal>
        </c:ser>
        <c:ser>
          <c:idx val="3"/>
          <c:order val="3"/>
          <c:tx>
            <c:v>GAUSSIAN FIT EURING 6</c:v>
          </c:tx>
          <c:spPr>
            <a:ln w="15875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'data (2)'!$AZ$6:$AZ$76</c:f>
              <c:numCache>
                <c:formatCode>General</c:formatCode>
                <c:ptCount val="71"/>
                <c:pt idx="0">
                  <c:v>0.2</c:v>
                </c:pt>
                <c:pt idx="1">
                  <c:v>0.21000000000000002</c:v>
                </c:pt>
                <c:pt idx="2">
                  <c:v>0.22000000000000003</c:v>
                </c:pt>
                <c:pt idx="3">
                  <c:v>0.23000000000000004</c:v>
                </c:pt>
                <c:pt idx="4">
                  <c:v>0.24000000000000005</c:v>
                </c:pt>
                <c:pt idx="5">
                  <c:v>0.25000000000000006</c:v>
                </c:pt>
                <c:pt idx="6">
                  <c:v>0.26000000000000006</c:v>
                </c:pt>
                <c:pt idx="7">
                  <c:v>0.27000000000000007</c:v>
                </c:pt>
                <c:pt idx="8">
                  <c:v>0.28000000000000008</c:v>
                </c:pt>
                <c:pt idx="9">
                  <c:v>0.29000000000000009</c:v>
                </c:pt>
                <c:pt idx="10">
                  <c:v>0.3000000000000001</c:v>
                </c:pt>
                <c:pt idx="11">
                  <c:v>0.31000000000000011</c:v>
                </c:pt>
                <c:pt idx="12">
                  <c:v>0.32000000000000012</c:v>
                </c:pt>
                <c:pt idx="13">
                  <c:v>0.33000000000000013</c:v>
                </c:pt>
                <c:pt idx="14">
                  <c:v>0.34000000000000014</c:v>
                </c:pt>
                <c:pt idx="15">
                  <c:v>0.35000000000000014</c:v>
                </c:pt>
                <c:pt idx="16">
                  <c:v>0.36000000000000015</c:v>
                </c:pt>
                <c:pt idx="17">
                  <c:v>0.37000000000000016</c:v>
                </c:pt>
                <c:pt idx="18">
                  <c:v>0.38000000000000017</c:v>
                </c:pt>
                <c:pt idx="19">
                  <c:v>0.39000000000000018</c:v>
                </c:pt>
                <c:pt idx="20">
                  <c:v>0.40000000000000019</c:v>
                </c:pt>
                <c:pt idx="21">
                  <c:v>0.4100000000000002</c:v>
                </c:pt>
                <c:pt idx="22">
                  <c:v>0.42000000000000021</c:v>
                </c:pt>
                <c:pt idx="23">
                  <c:v>0.43000000000000022</c:v>
                </c:pt>
                <c:pt idx="24">
                  <c:v>0.44000000000000022</c:v>
                </c:pt>
                <c:pt idx="25">
                  <c:v>0.45000000000000023</c:v>
                </c:pt>
                <c:pt idx="26">
                  <c:v>0.46000000000000024</c:v>
                </c:pt>
                <c:pt idx="27">
                  <c:v>0.47000000000000025</c:v>
                </c:pt>
                <c:pt idx="28">
                  <c:v>0.48000000000000026</c:v>
                </c:pt>
                <c:pt idx="29">
                  <c:v>0.49000000000000027</c:v>
                </c:pt>
                <c:pt idx="30">
                  <c:v>0.50000000000000022</c:v>
                </c:pt>
                <c:pt idx="31">
                  <c:v>0.51000000000000023</c:v>
                </c:pt>
                <c:pt idx="32">
                  <c:v>0.52000000000000024</c:v>
                </c:pt>
                <c:pt idx="33">
                  <c:v>0.53000000000000025</c:v>
                </c:pt>
                <c:pt idx="34">
                  <c:v>0.54000000000000026</c:v>
                </c:pt>
                <c:pt idx="35">
                  <c:v>0.55000000000000027</c:v>
                </c:pt>
                <c:pt idx="36">
                  <c:v>0.56000000000000028</c:v>
                </c:pt>
                <c:pt idx="37">
                  <c:v>0.57000000000000028</c:v>
                </c:pt>
                <c:pt idx="38">
                  <c:v>0.58000000000000029</c:v>
                </c:pt>
                <c:pt idx="39">
                  <c:v>0.5900000000000003</c:v>
                </c:pt>
                <c:pt idx="40">
                  <c:v>0.60000000000000031</c:v>
                </c:pt>
                <c:pt idx="41">
                  <c:v>0.61000000000000032</c:v>
                </c:pt>
                <c:pt idx="42">
                  <c:v>0.62000000000000033</c:v>
                </c:pt>
                <c:pt idx="43">
                  <c:v>0.63000000000000034</c:v>
                </c:pt>
                <c:pt idx="44">
                  <c:v>0.64000000000000035</c:v>
                </c:pt>
                <c:pt idx="45">
                  <c:v>0.65000000000000036</c:v>
                </c:pt>
                <c:pt idx="46">
                  <c:v>0.66000000000000036</c:v>
                </c:pt>
                <c:pt idx="47">
                  <c:v>0.67000000000000037</c:v>
                </c:pt>
                <c:pt idx="48">
                  <c:v>0.68000000000000038</c:v>
                </c:pt>
                <c:pt idx="49">
                  <c:v>0.69000000000000039</c:v>
                </c:pt>
                <c:pt idx="50">
                  <c:v>0.7000000000000004</c:v>
                </c:pt>
                <c:pt idx="51">
                  <c:v>0.71000000000000041</c:v>
                </c:pt>
                <c:pt idx="52">
                  <c:v>0.72000000000000042</c:v>
                </c:pt>
                <c:pt idx="53">
                  <c:v>0.73000000000000043</c:v>
                </c:pt>
                <c:pt idx="54">
                  <c:v>0.74000000000000044</c:v>
                </c:pt>
                <c:pt idx="55">
                  <c:v>0.75000000000000044</c:v>
                </c:pt>
                <c:pt idx="56">
                  <c:v>0.76000000000000045</c:v>
                </c:pt>
                <c:pt idx="57">
                  <c:v>0.77000000000000046</c:v>
                </c:pt>
                <c:pt idx="58">
                  <c:v>0.78000000000000047</c:v>
                </c:pt>
                <c:pt idx="59">
                  <c:v>0.79000000000000048</c:v>
                </c:pt>
                <c:pt idx="60">
                  <c:v>0.80000000000000049</c:v>
                </c:pt>
                <c:pt idx="61">
                  <c:v>0.8100000000000005</c:v>
                </c:pt>
                <c:pt idx="62">
                  <c:v>0.82000000000000051</c:v>
                </c:pt>
                <c:pt idx="63">
                  <c:v>0.83000000000000052</c:v>
                </c:pt>
                <c:pt idx="64">
                  <c:v>0.84000000000000052</c:v>
                </c:pt>
                <c:pt idx="65">
                  <c:v>0.85000000000000053</c:v>
                </c:pt>
                <c:pt idx="66">
                  <c:v>0.86000000000000054</c:v>
                </c:pt>
                <c:pt idx="67">
                  <c:v>0.87000000000000055</c:v>
                </c:pt>
                <c:pt idx="68">
                  <c:v>0.88000000000000056</c:v>
                </c:pt>
                <c:pt idx="69">
                  <c:v>0.89000000000000057</c:v>
                </c:pt>
                <c:pt idx="70">
                  <c:v>0.90000000000000058</c:v>
                </c:pt>
              </c:numCache>
            </c:numRef>
          </c:xVal>
          <c:yVal>
            <c:numRef>
              <c:f>'data (2)'!$BB$6:$BB$76</c:f>
              <c:numCache>
                <c:formatCode>0.00</c:formatCode>
                <c:ptCount val="71"/>
                <c:pt idx="0">
                  <c:v>1.7726233674752124E-145</c:v>
                </c:pt>
                <c:pt idx="1">
                  <c:v>8.7757036675277232E-139</c:v>
                </c:pt>
                <c:pt idx="2">
                  <c:v>3.0256721143924164E-132</c:v>
                </c:pt>
                <c:pt idx="3">
                  <c:v>7.2650098690141023E-126</c:v>
                </c:pt>
                <c:pt idx="4">
                  <c:v>1.2148565165027838E-119</c:v>
                </c:pt>
                <c:pt idx="5">
                  <c:v>1.414777680110822E-113</c:v>
                </c:pt>
                <c:pt idx="6">
                  <c:v>1.1474290602493207E-107</c:v>
                </c:pt>
                <c:pt idx="7">
                  <c:v>6.4809388391791196E-102</c:v>
                </c:pt>
                <c:pt idx="8">
                  <c:v>2.54932047658192E-96</c:v>
                </c:pt>
                <c:pt idx="9">
                  <c:v>6.9836968426014041E-91</c:v>
                </c:pt>
                <c:pt idx="10">
                  <c:v>1.3323574544949822E-85</c:v>
                </c:pt>
                <c:pt idx="11">
                  <c:v>1.7702335470718071E-80</c:v>
                </c:pt>
                <c:pt idx="12">
                  <c:v>1.638003442837325E-75</c:v>
                </c:pt>
                <c:pt idx="13">
                  <c:v>1.0555370621588441E-70</c:v>
                </c:pt>
                <c:pt idx="14">
                  <c:v>4.7370350338136538E-66</c:v>
                </c:pt>
                <c:pt idx="15">
                  <c:v>1.4805195259255178E-61</c:v>
                </c:pt>
                <c:pt idx="16">
                  <c:v>3.2225236653465492E-57</c:v>
                </c:pt>
                <c:pt idx="17">
                  <c:v>4.8848645327389121E-53</c:v>
                </c:pt>
                <c:pt idx="18">
                  <c:v>5.1568365509088243E-49</c:v>
                </c:pt>
                <c:pt idx="19">
                  <c:v>3.7913042832368521E-45</c:v>
                </c:pt>
                <c:pt idx="20">
                  <c:v>1.9411913602463187E-41</c:v>
                </c:pt>
                <c:pt idx="21">
                  <c:v>6.9218548978725123E-38</c:v>
                </c:pt>
                <c:pt idx="22">
                  <c:v>1.7189017958844803E-34</c:v>
                </c:pt>
                <c:pt idx="23">
                  <c:v>2.9727204637038795E-31</c:v>
                </c:pt>
                <c:pt idx="24">
                  <c:v>3.5803997097279245E-28</c:v>
                </c:pt>
                <c:pt idx="25">
                  <c:v>3.0031939945055601E-25</c:v>
                </c:pt>
                <c:pt idx="26">
                  <c:v>1.7543235503630666E-22</c:v>
                </c:pt>
                <c:pt idx="27">
                  <c:v>7.1369135013774898E-20</c:v>
                </c:pt>
                <c:pt idx="28">
                  <c:v>2.0220207405505654E-17</c:v>
                </c:pt>
                <c:pt idx="29">
                  <c:v>3.9896538018053474E-15</c:v>
                </c:pt>
                <c:pt idx="30">
                  <c:v>5.4822552333112194E-13</c:v>
                </c:pt>
                <c:pt idx="31">
                  <c:v>5.2463555870120058E-11</c:v>
                </c:pt>
                <c:pt idx="32">
                  <c:v>3.4964766147305164E-9</c:v>
                </c:pt>
                <c:pt idx="33">
                  <c:v>1.6228484538976255E-7</c:v>
                </c:pt>
                <c:pt idx="34">
                  <c:v>5.2456551586843592E-6</c:v>
                </c:pt>
                <c:pt idx="35">
                  <c:v>1.1808532838374868E-4</c:v>
                </c:pt>
                <c:pt idx="36">
                  <c:v>1.8512564261034602E-3</c:v>
                </c:pt>
                <c:pt idx="37">
                  <c:v>2.0212109832781308E-2</c:v>
                </c:pt>
                <c:pt idx="38">
                  <c:v>0.15368488379726739</c:v>
                </c:pt>
                <c:pt idx="39">
                  <c:v>0.81381387440531461</c:v>
                </c:pt>
                <c:pt idx="40">
                  <c:v>3.0011897836633286</c:v>
                </c:pt>
                <c:pt idx="41">
                  <c:v>7.707903382095596</c:v>
                </c:pt>
                <c:pt idx="42">
                  <c:v>13.786483266237621</c:v>
                </c:pt>
                <c:pt idx="43">
                  <c:v>17.172960340048405</c:v>
                </c:pt>
                <c:pt idx="44">
                  <c:v>14.897427101529857</c:v>
                </c:pt>
                <c:pt idx="45">
                  <c:v>9.0001926160475794</c:v>
                </c:pt>
                <c:pt idx="46">
                  <c:v>3.7867512039397524</c:v>
                </c:pt>
                <c:pt idx="47">
                  <c:v>1.1095737490400854</c:v>
                </c:pt>
                <c:pt idx="48">
                  <c:v>0.22642272231891047</c:v>
                </c:pt>
                <c:pt idx="49">
                  <c:v>3.2177942779343757E-2</c:v>
                </c:pt>
                <c:pt idx="50">
                  <c:v>3.1847179485727209E-3</c:v>
                </c:pt>
                <c:pt idx="51">
                  <c:v>2.1951192031801972E-4</c:v>
                </c:pt>
                <c:pt idx="52">
                  <c:v>1.0537065401292835E-5</c:v>
                </c:pt>
                <c:pt idx="53">
                  <c:v>3.5225379064857734E-7</c:v>
                </c:pt>
                <c:pt idx="54">
                  <c:v>8.2009867090187593E-9</c:v>
                </c:pt>
                <c:pt idx="55">
                  <c:v>1.3296917489930966E-10</c:v>
                </c:pt>
                <c:pt idx="56">
                  <c:v>1.5014479205019569E-12</c:v>
                </c:pt>
                <c:pt idx="57">
                  <c:v>1.1807120750347905E-14</c:v>
                </c:pt>
                <c:pt idx="58">
                  <c:v>6.4662452114448795E-17</c:v>
                </c:pt>
                <c:pt idx="59">
                  <c:v>2.4662367666519807E-19</c:v>
                </c:pt>
                <c:pt idx="60">
                  <c:v>6.5507616688117287E-22</c:v>
                </c:pt>
                <c:pt idx="61">
                  <c:v>1.2117785576155697E-24</c:v>
                </c:pt>
                <c:pt idx="62">
                  <c:v>1.561094381790157E-27</c:v>
                </c:pt>
                <c:pt idx="63">
                  <c:v>1.4005850656295399E-30</c:v>
                </c:pt>
                <c:pt idx="64">
                  <c:v>8.7511324028021716E-34</c:v>
                </c:pt>
                <c:pt idx="65">
                  <c:v>3.8079694124403378E-37</c:v>
                </c:pt>
                <c:pt idx="66">
                  <c:v>1.1539768085542424E-40</c:v>
                </c:pt>
                <c:pt idx="67">
                  <c:v>2.4354271522927569E-44</c:v>
                </c:pt>
                <c:pt idx="68">
                  <c:v>3.5795434581786418E-48</c:v>
                </c:pt>
                <c:pt idx="69">
                  <c:v>3.6639924348983475E-52</c:v>
                </c:pt>
                <c:pt idx="70">
                  <c:v>2.6118963004903497E-56</c:v>
                </c:pt>
              </c:numCache>
            </c:numRef>
          </c:yVal>
        </c:ser>
        <c:axId val="119953664"/>
        <c:axId val="119964032"/>
      </c:scatterChart>
      <c:valAx>
        <c:axId val="119953664"/>
        <c:scaling>
          <c:orientation val="minMax"/>
          <c:max val="0.9"/>
          <c:min val="0.2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sz="1200"/>
                  <a:t>CHROMA</a:t>
                </a:r>
                <a:r>
                  <a:rPr lang="en-US" sz="1200" baseline="0"/>
                  <a:t> value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485555882993496"/>
              <c:y val="0.94101467240905956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964032"/>
        <c:crosses val="autoZero"/>
        <c:crossBetween val="midCat"/>
      </c:valAx>
      <c:valAx>
        <c:axId val="11996403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 sz="1200"/>
                  <a:t>Frequency</a:t>
                </a:r>
                <a:endParaRPr lang="en-US" sz="1100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953664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66541353256651514"/>
          <c:y val="0.23748008058151174"/>
          <c:w val="0.18322543809753336"/>
          <c:h val="0.16380843757573144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0552502887298909"/>
          <c:y val="4.2963477059210144E-2"/>
          <c:w val="0.8588036341905857"/>
          <c:h val="0.82192711068755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x"/>
            <c:size val="7"/>
            <c:spPr>
              <a:ln w="19050">
                <a:solidFill>
                  <a:sysClr val="windowText" lastClr="000000"/>
                </a:solidFill>
              </a:ln>
            </c:spPr>
          </c:marker>
          <c:xVal>
            <c:numRef>
              <c:f>'data (2)'!$U$6:$U$59</c:f>
              <c:numCache>
                <c:formatCode>0.00</c:formatCode>
                <c:ptCount val="54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</c:numCache>
            </c:numRef>
          </c:xVal>
          <c:yVal>
            <c:numRef>
              <c:f>'data (2)'!$W$6:$W$59</c:f>
              <c:numCache>
                <c:formatCode>0.00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0.49688584623919557</c:v>
                </c:pt>
                <c:pt idx="3">
                  <c:v>0.47731349059539352</c:v>
                </c:pt>
                <c:pt idx="4">
                  <c:v>0.54976676756790022</c:v>
                </c:pt>
                <c:pt idx="5">
                  <c:v>0.61011795876790176</c:v>
                </c:pt>
                <c:pt idx="6">
                  <c:v>#N/A</c:v>
                </c:pt>
                <c:pt idx="7">
                  <c:v>0.60913760698105424</c:v>
                </c:pt>
                <c:pt idx="8">
                  <c:v>#N/A</c:v>
                </c:pt>
                <c:pt idx="9">
                  <c:v>0.51247211994521302</c:v>
                </c:pt>
                <c:pt idx="10">
                  <c:v>0.45504648640767742</c:v>
                </c:pt>
                <c:pt idx="11">
                  <c:v>0.5631791785942567</c:v>
                </c:pt>
                <c:pt idx="12">
                  <c:v>#N/A</c:v>
                </c:pt>
                <c:pt idx="13">
                  <c:v>0.46437872503268801</c:v>
                </c:pt>
                <c:pt idx="14">
                  <c:v>0.55109608352484929</c:v>
                </c:pt>
                <c:pt idx="15">
                  <c:v>0.54912576205083963</c:v>
                </c:pt>
                <c:pt idx="16">
                  <c:v>0.48374329107529429</c:v>
                </c:pt>
                <c:pt idx="17">
                  <c:v>0.58687602739236888</c:v>
                </c:pt>
                <c:pt idx="18">
                  <c:v>#N/A</c:v>
                </c:pt>
                <c:pt idx="19">
                  <c:v>#N/A</c:v>
                </c:pt>
                <c:pt idx="20">
                  <c:v>0.33294849579882596</c:v>
                </c:pt>
                <c:pt idx="21">
                  <c:v>0.36775231121467739</c:v>
                </c:pt>
                <c:pt idx="22">
                  <c:v>#N/A</c:v>
                </c:pt>
                <c:pt idx="23">
                  <c:v>0.41185638157043247</c:v>
                </c:pt>
                <c:pt idx="24">
                  <c:v>0.43653643765291811</c:v>
                </c:pt>
                <c:pt idx="25">
                  <c:v>0.48940380775701348</c:v>
                </c:pt>
                <c:pt idx="26">
                  <c:v>0.47432082207526705</c:v>
                </c:pt>
                <c:pt idx="27">
                  <c:v>0.51917140614478419</c:v>
                </c:pt>
                <c:pt idx="28">
                  <c:v>#N/A</c:v>
                </c:pt>
                <c:pt idx="29">
                  <c:v>0.62145501247925972</c:v>
                </c:pt>
                <c:pt idx="30">
                  <c:v>#N/A</c:v>
                </c:pt>
                <c:pt idx="31">
                  <c:v>0.42374547884583041</c:v>
                </c:pt>
                <c:pt idx="32">
                  <c:v>0.48738111304294141</c:v>
                </c:pt>
                <c:pt idx="33">
                  <c:v>0.62469535014161981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0.55305171212414539</c:v>
                </c:pt>
                <c:pt idx="38">
                  <c:v>0.55767099266679865</c:v>
                </c:pt>
                <c:pt idx="39">
                  <c:v>0.51868494100819229</c:v>
                </c:pt>
                <c:pt idx="40">
                  <c:v>#N/A</c:v>
                </c:pt>
                <c:pt idx="41">
                  <c:v>#N/A</c:v>
                </c:pt>
                <c:pt idx="42">
                  <c:v>0.47989629454158028</c:v>
                </c:pt>
                <c:pt idx="43">
                  <c:v>0.40806759082764921</c:v>
                </c:pt>
                <c:pt idx="44">
                  <c:v>#N/A</c:v>
                </c:pt>
                <c:pt idx="45">
                  <c:v>0.43171091875270007</c:v>
                </c:pt>
                <c:pt idx="46">
                  <c:v>0.45969648865094076</c:v>
                </c:pt>
                <c:pt idx="47">
                  <c:v>#N/A</c:v>
                </c:pt>
                <c:pt idx="48">
                  <c:v>#N/A</c:v>
                </c:pt>
                <c:pt idx="49">
                  <c:v>0.61339741007997794</c:v>
                </c:pt>
                <c:pt idx="50">
                  <c:v>0.491266350960468</c:v>
                </c:pt>
                <c:pt idx="51">
                  <c:v>0.41160841536988246</c:v>
                </c:pt>
                <c:pt idx="52">
                  <c:v>#N/A</c:v>
                </c:pt>
                <c:pt idx="53">
                  <c:v>#N/A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'data (2)'!$U$6:$U$59</c:f>
              <c:numCache>
                <c:formatCode>0.00</c:formatCode>
                <c:ptCount val="54"/>
                <c:pt idx="0">
                  <c:v>46.735704588928392</c:v>
                </c:pt>
                <c:pt idx="1">
                  <c:v>44.999999999999993</c:v>
                </c:pt>
                <c:pt idx="2">
                  <c:v>45</c:v>
                </c:pt>
                <c:pt idx="3">
                  <c:v>47.021364940356023</c:v>
                </c:pt>
                <c:pt idx="4">
                  <c:v>43.122122552714643</c:v>
                </c:pt>
                <c:pt idx="5">
                  <c:v>40.707397819110682</c:v>
                </c:pt>
                <c:pt idx="6">
                  <c:v>42.184443315788769</c:v>
                </c:pt>
                <c:pt idx="7">
                  <c:v>40.416470190882983</c:v>
                </c:pt>
                <c:pt idx="8">
                  <c:v>43.152389734005411</c:v>
                </c:pt>
                <c:pt idx="9">
                  <c:v>44.684613573428976</c:v>
                </c:pt>
                <c:pt idx="10">
                  <c:v>45.59888877547116</c:v>
                </c:pt>
                <c:pt idx="11">
                  <c:v>43.644868708977853</c:v>
                </c:pt>
                <c:pt idx="12">
                  <c:v>51.340191745909898</c:v>
                </c:pt>
                <c:pt idx="13">
                  <c:v>43.210089391753918</c:v>
                </c:pt>
                <c:pt idx="14">
                  <c:v>44.738377254305213</c:v>
                </c:pt>
                <c:pt idx="15">
                  <c:v>43.702259323260989</c:v>
                </c:pt>
                <c:pt idx="16">
                  <c:v>43.051914993485049</c:v>
                </c:pt>
                <c:pt idx="17">
                  <c:v>45.116218460312545</c:v>
                </c:pt>
                <c:pt idx="18">
                  <c:v>43.732091161509295</c:v>
                </c:pt>
                <c:pt idx="19">
                  <c:v>43.2642954110716</c:v>
                </c:pt>
                <c:pt idx="20">
                  <c:v>32.098927254785181</c:v>
                </c:pt>
                <c:pt idx="21">
                  <c:v>34.418364479056223</c:v>
                </c:pt>
                <c:pt idx="22">
                  <c:v>41.398721882776577</c:v>
                </c:pt>
                <c:pt idx="23">
                  <c:v>44.738377254305199</c:v>
                </c:pt>
                <c:pt idx="24">
                  <c:v>43.973303819942124</c:v>
                </c:pt>
                <c:pt idx="25">
                  <c:v>42.253599322655781</c:v>
                </c:pt>
                <c:pt idx="26">
                  <c:v>46.029154804305968</c:v>
                </c:pt>
                <c:pt idx="27">
                  <c:v>43.325162009470787</c:v>
                </c:pt>
                <c:pt idx="28">
                  <c:v>39.707419959988016</c:v>
                </c:pt>
                <c:pt idx="29">
                  <c:v>38.629935587603399</c:v>
                </c:pt>
                <c:pt idx="30">
                  <c:v>44.07096068057794</c:v>
                </c:pt>
                <c:pt idx="31">
                  <c:v>41.729512076816427</c:v>
                </c:pt>
                <c:pt idx="32">
                  <c:v>43.408859728805432</c:v>
                </c:pt>
                <c:pt idx="33">
                  <c:v>38.603414788527793</c:v>
                </c:pt>
                <c:pt idx="34">
                  <c:v>44.898231404512657</c:v>
                </c:pt>
                <c:pt idx="35">
                  <c:v>46.363927531602926</c:v>
                </c:pt>
                <c:pt idx="36">
                  <c:v>46.405242339872522</c:v>
                </c:pt>
                <c:pt idx="37">
                  <c:v>44.885178952279766</c:v>
                </c:pt>
                <c:pt idx="38">
                  <c:v>42.069327494433111</c:v>
                </c:pt>
                <c:pt idx="39">
                  <c:v>43.178486648398888</c:v>
                </c:pt>
                <c:pt idx="40">
                  <c:v>43.315315682103702</c:v>
                </c:pt>
                <c:pt idx="41">
                  <c:v>43.249145813457162</c:v>
                </c:pt>
                <c:pt idx="42">
                  <c:v>46.005086005254185</c:v>
                </c:pt>
                <c:pt idx="43">
                  <c:v>47.533558888394559</c:v>
                </c:pt>
                <c:pt idx="44">
                  <c:v>43.567903815835336</c:v>
                </c:pt>
                <c:pt idx="45">
                  <c:v>44.489962023033314</c:v>
                </c:pt>
                <c:pt idx="46">
                  <c:v>46.049255940880073</c:v>
                </c:pt>
                <c:pt idx="47">
                  <c:v>49.04448557418111</c:v>
                </c:pt>
                <c:pt idx="48">
                  <c:v>32.535067157935003</c:v>
                </c:pt>
                <c:pt idx="49">
                  <c:v>46.407741487874077</c:v>
                </c:pt>
                <c:pt idx="50">
                  <c:v>41.06982445427451</c:v>
                </c:pt>
                <c:pt idx="51">
                  <c:v>46.789910608246068</c:v>
                </c:pt>
                <c:pt idx="52">
                  <c:v>39.620298400874582</c:v>
                </c:pt>
                <c:pt idx="53">
                  <c:v>41.905941941082894</c:v>
                </c:pt>
              </c:numCache>
            </c:numRef>
          </c:xVal>
          <c:yVal>
            <c:numRef>
              <c:f>'data (2)'!$X$6:$X$59</c:f>
              <c:numCache>
                <c:formatCode>0.00</c:formatCode>
                <c:ptCount val="54"/>
                <c:pt idx="0">
                  <c:v>0.51878300133016675</c:v>
                </c:pt>
                <c:pt idx="1">
                  <c:v>0.57825621217033207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0.65185880397552254</c:v>
                </c:pt>
                <c:pt idx="7">
                  <c:v>#N/A</c:v>
                </c:pt>
                <c:pt idx="8">
                  <c:v>0.50611643537218409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0.49045206925017554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0.59178137388843921</c:v>
                </c:pt>
                <c:pt idx="19">
                  <c:v>0.61166554741984724</c:v>
                </c:pt>
                <c:pt idx="20">
                  <c:v>#N/A</c:v>
                </c:pt>
                <c:pt idx="21">
                  <c:v>#N/A</c:v>
                </c:pt>
                <c:pt idx="22">
                  <c:v>0.49664870732258831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0.52820945815060549</c:v>
                </c:pt>
                <c:pt idx="29">
                  <c:v>#N/A</c:v>
                </c:pt>
                <c:pt idx="30">
                  <c:v>0.54971408942685718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0.64837417880893577</c:v>
                </c:pt>
                <c:pt idx="35">
                  <c:v>0.46236422653736814</c:v>
                </c:pt>
                <c:pt idx="36">
                  <c:v>0.62362903135458658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0.61671863952849704</c:v>
                </c:pt>
                <c:pt idx="41">
                  <c:v>0.48215204282842988</c:v>
                </c:pt>
                <c:pt idx="42">
                  <c:v>#N/A</c:v>
                </c:pt>
                <c:pt idx="43">
                  <c:v>#N/A</c:v>
                </c:pt>
                <c:pt idx="44">
                  <c:v>0.54149490337971684</c:v>
                </c:pt>
                <c:pt idx="45">
                  <c:v>#N/A</c:v>
                </c:pt>
                <c:pt idx="46">
                  <c:v>#N/A</c:v>
                </c:pt>
                <c:pt idx="47">
                  <c:v>0.62341168739420938</c:v>
                </c:pt>
                <c:pt idx="48">
                  <c:v>0.44385033710495142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0.62110764126492413</c:v>
                </c:pt>
                <c:pt idx="53">
                  <c:v>0.48520638913236686</c:v>
                </c:pt>
              </c:numCache>
            </c:numRef>
          </c:yVal>
        </c:ser>
        <c:axId val="119984512"/>
        <c:axId val="119986432"/>
      </c:scatterChart>
      <c:valAx>
        <c:axId val="119984512"/>
        <c:scaling>
          <c:orientation val="minMax"/>
          <c:min val="25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HUE</a:t>
                </a:r>
              </a:p>
            </c:rich>
          </c:tx>
          <c:layout>
            <c:manualLayout>
              <c:xMode val="edge"/>
              <c:yMode val="edge"/>
              <c:x val="0.50660906194203958"/>
              <c:y val="0.93255605650546924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986432"/>
        <c:crosses val="autoZero"/>
        <c:crossBetween val="midCat"/>
      </c:valAx>
      <c:valAx>
        <c:axId val="119986432"/>
        <c:scaling>
          <c:orientation val="minMax"/>
          <c:min val="0.25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CHROMA</a:t>
                </a:r>
              </a:p>
            </c:rich>
          </c:tx>
          <c:layout>
            <c:manualLayout>
              <c:xMode val="edge"/>
              <c:yMode val="edge"/>
              <c:x val="3.0154694125174342E-2"/>
              <c:y val="0.34456031493950434"/>
            </c:manualLayout>
          </c:layout>
        </c:title>
        <c:numFmt formatCode="0.00" sourceLinked="1"/>
        <c:tickLblPos val="nextTo"/>
        <c:txPr>
          <a:bodyPr rot="0" anchor="ctr" anchorCtr="0"/>
          <a:lstStyle/>
          <a:p>
            <a:pPr>
              <a:defRPr lang="en-US"/>
            </a:pPr>
            <a:endParaRPr lang="en-US"/>
          </a:p>
        </c:txPr>
        <c:crossAx val="11998451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3165136503864322"/>
          <c:y val="0.15051034675749717"/>
          <c:w val="0.11619614126240359"/>
          <c:h val="0.1228334462154755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9.90848236993635E-2"/>
          <c:y val="5.1400554097404488E-2"/>
          <c:w val="0.86812205015393062"/>
          <c:h val="0.48076478993345295"/>
        </c:manualLayout>
      </c:layout>
      <c:barChart>
        <c:barDir val="col"/>
        <c:grouping val="clustered"/>
        <c:ser>
          <c:idx val="0"/>
          <c:order val="0"/>
          <c:tx>
            <c:v>EURING 5</c:v>
          </c:tx>
          <c:spPr>
            <a:solidFill>
              <a:schemeClr val="tx1"/>
            </a:solidFill>
          </c:spPr>
          <c:cat>
            <c:numRef>
              <c:f>scale!$I$2:$I$14</c:f>
              <c:numCache>
                <c:formatCode>0.00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</c:numCache>
            </c:numRef>
          </c:cat>
          <c:val>
            <c:numRef>
              <c:f>scale!$G$2:$G$14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EURING 6</c:v>
          </c:tx>
          <c:spPr>
            <a:solidFill>
              <a:schemeClr val="accent2"/>
            </a:solidFill>
          </c:spPr>
          <c:cat>
            <c:numRef>
              <c:f>scale!$I$2:$I$14</c:f>
              <c:numCache>
                <c:formatCode>0.00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</c:numCache>
            </c:numRef>
          </c:cat>
          <c:val>
            <c:numRef>
              <c:f>scale!$H$2:$H$14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</c:ser>
        <c:gapWidth val="0"/>
        <c:axId val="119581696"/>
        <c:axId val="119596160"/>
      </c:barChart>
      <c:catAx>
        <c:axId val="119581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colour</a:t>
                </a:r>
              </a:p>
            </c:rich>
          </c:tx>
          <c:layout>
            <c:manualLayout>
              <c:xMode val="edge"/>
              <c:yMode val="edge"/>
              <c:x val="0.47642046534347027"/>
              <c:y val="0.59408774044012558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596160"/>
        <c:crosses val="autoZero"/>
        <c:auto val="1"/>
        <c:lblAlgn val="ctr"/>
        <c:lblOffset val="100"/>
      </c:catAx>
      <c:valAx>
        <c:axId val="119596160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 lang="en-US"/>
                </a:pPr>
                <a:r>
                  <a:rPr lang="en-US"/>
                  <a:t>frequency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9581696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75330129980684024"/>
          <c:y val="0.12519789188306421"/>
          <c:w val="0.14609488197699946"/>
          <c:h val="0.10934487728441629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833918</xdr:colOff>
      <xdr:row>6</xdr:row>
      <xdr:rowOff>124594</xdr:rowOff>
    </xdr:from>
    <xdr:to>
      <xdr:col>90</xdr:col>
      <xdr:colOff>3391</xdr:colOff>
      <xdr:row>33</xdr:row>
      <xdr:rowOff>184125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78</xdr:col>
      <xdr:colOff>592206</xdr:colOff>
      <xdr:row>34</xdr:row>
      <xdr:rowOff>64696</xdr:rowOff>
    </xdr:from>
    <xdr:to>
      <xdr:col>95</xdr:col>
      <xdr:colOff>319685</xdr:colOff>
      <xdr:row>61</xdr:row>
      <xdr:rowOff>124227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378621</xdr:colOff>
      <xdr:row>22</xdr:row>
      <xdr:rowOff>38100</xdr:rowOff>
    </xdr:from>
    <xdr:to>
      <xdr:col>58</xdr:col>
      <xdr:colOff>762000</xdr:colOff>
      <xdr:row>41</xdr:row>
      <xdr:rowOff>101338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614362</xdr:colOff>
      <xdr:row>22</xdr:row>
      <xdr:rowOff>57150</xdr:rowOff>
    </xdr:from>
    <xdr:to>
      <xdr:col>69</xdr:col>
      <xdr:colOff>609600</xdr:colOff>
      <xdr:row>42</xdr:row>
      <xdr:rowOff>66676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361949</xdr:colOff>
      <xdr:row>18</xdr:row>
      <xdr:rowOff>133350</xdr:rowOff>
    </xdr:from>
    <xdr:to>
      <xdr:col>46</xdr:col>
      <xdr:colOff>447675</xdr:colOff>
      <xdr:row>35</xdr:row>
      <xdr:rowOff>142876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68</xdr:col>
      <xdr:colOff>356510</xdr:colOff>
      <xdr:row>36</xdr:row>
      <xdr:rowOff>164769</xdr:rowOff>
    </xdr:from>
    <xdr:to>
      <xdr:col>78</xdr:col>
      <xdr:colOff>425715</xdr:colOff>
      <xdr:row>64</xdr:row>
      <xdr:rowOff>38033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7359</xdr:colOff>
      <xdr:row>7</xdr:row>
      <xdr:rowOff>69561</xdr:rowOff>
    </xdr:from>
    <xdr:to>
      <xdr:col>74</xdr:col>
      <xdr:colOff>181191</xdr:colOff>
      <xdr:row>34</xdr:row>
      <xdr:rowOff>129092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391822</xdr:colOff>
      <xdr:row>43</xdr:row>
      <xdr:rowOff>143958</xdr:rowOff>
    </xdr:from>
    <xdr:to>
      <xdr:col>73</xdr:col>
      <xdr:colOff>434684</xdr:colOff>
      <xdr:row>71</xdr:row>
      <xdr:rowOff>12989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607220</xdr:colOff>
      <xdr:row>75</xdr:row>
      <xdr:rowOff>21167</xdr:rowOff>
    </xdr:from>
    <xdr:to>
      <xdr:col>64</xdr:col>
      <xdr:colOff>500062</xdr:colOff>
      <xdr:row>105</xdr:row>
      <xdr:rowOff>120388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65</xdr:col>
      <xdr:colOff>119062</xdr:colOff>
      <xdr:row>75</xdr:row>
      <xdr:rowOff>47624</xdr:rowOff>
    </xdr:from>
    <xdr:to>
      <xdr:col>79</xdr:col>
      <xdr:colOff>511967</xdr:colOff>
      <xdr:row>105</xdr:row>
      <xdr:rowOff>119063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95249</xdr:colOff>
      <xdr:row>72</xdr:row>
      <xdr:rowOff>173182</xdr:rowOff>
    </xdr:from>
    <xdr:to>
      <xdr:col>71</xdr:col>
      <xdr:colOff>493134</xdr:colOff>
      <xdr:row>100</xdr:row>
      <xdr:rowOff>42213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304801</xdr:colOff>
      <xdr:row>11</xdr:row>
      <xdr:rowOff>28574</xdr:rowOff>
    </xdr:from>
    <xdr:to>
      <xdr:col>20</xdr:col>
      <xdr:colOff>352425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137862</xdr:colOff>
      <xdr:row>25</xdr:row>
      <xdr:rowOff>60512</xdr:rowOff>
    </xdr:from>
    <xdr:to>
      <xdr:col>20</xdr:col>
      <xdr:colOff>142874</xdr:colOff>
      <xdr:row>31</xdr:row>
      <xdr:rowOff>110621</xdr:rowOff>
    </xdr:to>
    <xdr:grpSp>
      <xdr:nvGrpSpPr>
        <xdr:cNvPr id="18" name="Group 17"/>
        <xdr:cNvGrpSpPr/>
      </xdr:nvGrpSpPr>
      <xdr:grpSpPr>
        <a:xfrm>
          <a:off x="7820207" y="4563239"/>
          <a:ext cx="4272212" cy="1130764"/>
          <a:chOff x="7875672" y="4105776"/>
          <a:chExt cx="4222082" cy="463550"/>
        </a:xfrm>
      </xdr:grpSpPr>
      <xdr:sp macro="" textlink="">
        <xdr:nvSpPr>
          <xdr:cNvPr id="4" name="Rectangle 3"/>
          <xdr:cNvSpPr/>
        </xdr:nvSpPr>
        <xdr:spPr>
          <a:xfrm>
            <a:off x="7875672" y="4105776"/>
            <a:ext cx="323850" cy="463550"/>
          </a:xfrm>
          <a:prstGeom prst="rect">
            <a:avLst/>
          </a:prstGeom>
          <a:solidFill>
            <a:srgbClr val="120C0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" name="Rectangle 4"/>
          <xdr:cNvSpPr/>
        </xdr:nvSpPr>
        <xdr:spPr>
          <a:xfrm>
            <a:off x="8199522" y="4105776"/>
            <a:ext cx="325855" cy="463550"/>
          </a:xfrm>
          <a:prstGeom prst="rect">
            <a:avLst/>
          </a:prstGeom>
          <a:solidFill>
            <a:srgbClr val="140D0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8525377" y="4105776"/>
            <a:ext cx="323850" cy="463550"/>
          </a:xfrm>
          <a:prstGeom prst="rect">
            <a:avLst/>
          </a:prstGeom>
          <a:solidFill>
            <a:srgbClr val="160E0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7" name="Rectangle 6"/>
          <xdr:cNvSpPr/>
        </xdr:nvSpPr>
        <xdr:spPr>
          <a:xfrm>
            <a:off x="8849227" y="4105776"/>
            <a:ext cx="325855" cy="463550"/>
          </a:xfrm>
          <a:prstGeom prst="rect">
            <a:avLst/>
          </a:prstGeom>
          <a:solidFill>
            <a:srgbClr val="170F0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8" name="Rectangle 7"/>
          <xdr:cNvSpPr/>
        </xdr:nvSpPr>
        <xdr:spPr>
          <a:xfrm>
            <a:off x="9175082" y="4105776"/>
            <a:ext cx="323850" cy="463550"/>
          </a:xfrm>
          <a:prstGeom prst="rect">
            <a:avLst/>
          </a:prstGeom>
          <a:solidFill>
            <a:srgbClr val="19100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" name="Rectangle 8"/>
          <xdr:cNvSpPr/>
        </xdr:nvSpPr>
        <xdr:spPr>
          <a:xfrm>
            <a:off x="9498932" y="4105776"/>
            <a:ext cx="325856" cy="463550"/>
          </a:xfrm>
          <a:prstGeom prst="rect">
            <a:avLst/>
          </a:prstGeom>
          <a:solidFill>
            <a:srgbClr val="1B110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" name="Rectangle 9"/>
          <xdr:cNvSpPr/>
        </xdr:nvSpPr>
        <xdr:spPr>
          <a:xfrm>
            <a:off x="9824788" y="4105776"/>
            <a:ext cx="323850" cy="463550"/>
          </a:xfrm>
          <a:prstGeom prst="rect">
            <a:avLst/>
          </a:prstGeom>
          <a:solidFill>
            <a:srgbClr val="1C110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" name="Rectangle 10"/>
          <xdr:cNvSpPr/>
        </xdr:nvSpPr>
        <xdr:spPr>
          <a:xfrm>
            <a:off x="10148638" y="4105776"/>
            <a:ext cx="325855" cy="463550"/>
          </a:xfrm>
          <a:prstGeom prst="rect">
            <a:avLst/>
          </a:prstGeom>
          <a:solidFill>
            <a:srgbClr val="1E1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" name="Rectangle 11"/>
          <xdr:cNvSpPr/>
        </xdr:nvSpPr>
        <xdr:spPr>
          <a:xfrm>
            <a:off x="10474493" y="4105776"/>
            <a:ext cx="323850" cy="463550"/>
          </a:xfrm>
          <a:prstGeom prst="rect">
            <a:avLst/>
          </a:prstGeom>
          <a:solidFill>
            <a:srgbClr val="1F13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" name="Rectangle 12"/>
          <xdr:cNvSpPr/>
        </xdr:nvSpPr>
        <xdr:spPr>
          <a:xfrm>
            <a:off x="10798343" y="4105776"/>
            <a:ext cx="325855" cy="463550"/>
          </a:xfrm>
          <a:prstGeom prst="rect">
            <a:avLst/>
          </a:prstGeom>
          <a:solidFill>
            <a:srgbClr val="21141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" name="Rectangle 13"/>
          <xdr:cNvSpPr/>
        </xdr:nvSpPr>
        <xdr:spPr>
          <a:xfrm>
            <a:off x="11124198" y="4105776"/>
            <a:ext cx="323850" cy="463550"/>
          </a:xfrm>
          <a:prstGeom prst="rect">
            <a:avLst/>
          </a:prstGeom>
          <a:solidFill>
            <a:srgbClr val="23151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" name="Rectangle 14"/>
          <xdr:cNvSpPr/>
        </xdr:nvSpPr>
        <xdr:spPr>
          <a:xfrm>
            <a:off x="11448048" y="4105776"/>
            <a:ext cx="325856" cy="463550"/>
          </a:xfrm>
          <a:prstGeom prst="rect">
            <a:avLst/>
          </a:prstGeom>
          <a:solidFill>
            <a:srgbClr val="24151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" name="Rectangle 15"/>
          <xdr:cNvSpPr/>
        </xdr:nvSpPr>
        <xdr:spPr>
          <a:xfrm>
            <a:off x="11773904" y="4105776"/>
            <a:ext cx="323850" cy="463550"/>
          </a:xfrm>
          <a:prstGeom prst="rect">
            <a:avLst/>
          </a:prstGeom>
          <a:solidFill>
            <a:srgbClr val="26171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200"/>
  <sheetViews>
    <sheetView tabSelected="1" topLeftCell="BX32" workbookViewId="0">
      <selection activeCell="CS37" sqref="CS37"/>
    </sheetView>
  </sheetViews>
  <sheetFormatPr defaultRowHeight="14.4"/>
  <cols>
    <col min="1" max="1" width="11" customWidth="1"/>
    <col min="2" max="2" width="11.33203125" bestFit="1" customWidth="1"/>
    <col min="4" max="4" width="5.33203125" customWidth="1"/>
    <col min="5" max="5" width="5.109375" customWidth="1"/>
    <col min="6" max="6" width="3.6640625" style="9" customWidth="1"/>
    <col min="7" max="8" width="4.33203125" customWidth="1"/>
    <col min="9" max="9" width="5.33203125" style="61" customWidth="1"/>
    <col min="10" max="10" width="5.88671875" style="61" customWidth="1"/>
    <col min="11" max="11" width="6.109375" style="61" customWidth="1"/>
    <col min="12" max="12" width="6.109375" style="63" customWidth="1"/>
    <col min="13" max="16" width="6.109375" style="15" customWidth="1"/>
    <col min="17" max="18" width="6.109375" style="16" customWidth="1"/>
    <col min="19" max="20" width="7" style="14" customWidth="1"/>
    <col min="21" max="23" width="6.109375" style="22" customWidth="1"/>
    <col min="24" max="24" width="7.33203125" style="22" customWidth="1"/>
    <col min="25" max="25" width="8.44140625" style="22" customWidth="1"/>
    <col min="26" max="26" width="8.5546875" style="22" customWidth="1"/>
    <col min="27" max="29" width="9.109375" style="2"/>
    <col min="30" max="31" width="9.109375" style="52"/>
    <col min="32" max="34" width="10.6640625" style="52" customWidth="1"/>
    <col min="35" max="35" width="9.109375" style="52"/>
    <col min="36" max="39" width="9.109375" style="56"/>
    <col min="40" max="43" width="9.109375" style="23"/>
    <col min="44" max="44" width="10.33203125" style="23" customWidth="1"/>
    <col min="45" max="45" width="9.109375" style="23"/>
    <col min="46" max="46" width="10.6640625" style="23" customWidth="1"/>
    <col min="47" max="48" width="9.109375" style="23"/>
    <col min="49" max="49" width="8.5546875" style="23" customWidth="1"/>
    <col min="50" max="50" width="8.109375" style="23" customWidth="1"/>
    <col min="51" max="51" width="7.88671875" style="2" customWidth="1"/>
    <col min="52" max="54" width="9.109375" style="2"/>
    <col min="55" max="55" width="10.88671875" style="2" customWidth="1"/>
    <col min="56" max="59" width="12.44140625" customWidth="1"/>
    <col min="60" max="65" width="11" customWidth="1"/>
    <col min="66" max="67" width="11" style="2" customWidth="1"/>
    <col min="68" max="72" width="11" customWidth="1"/>
    <col min="73" max="73" width="14.44140625" customWidth="1"/>
    <col min="74" max="74" width="12.88671875" customWidth="1"/>
    <col min="75" max="75" width="11" customWidth="1"/>
    <col min="76" max="76" width="9.88671875" customWidth="1"/>
    <col min="77" max="77" width="9.44140625" customWidth="1"/>
    <col min="78" max="79" width="9.109375" customWidth="1"/>
  </cols>
  <sheetData>
    <row r="1" spans="1:84">
      <c r="A1" t="s">
        <v>0</v>
      </c>
      <c r="B1" t="s">
        <v>80</v>
      </c>
      <c r="C1" t="s">
        <v>82</v>
      </c>
      <c r="D1" t="s">
        <v>1</v>
      </c>
      <c r="E1" t="s">
        <v>2</v>
      </c>
      <c r="F1" s="9" t="s">
        <v>27</v>
      </c>
      <c r="G1" t="s">
        <v>3</v>
      </c>
      <c r="H1" t="s">
        <v>4</v>
      </c>
      <c r="I1" s="61" t="s">
        <v>6</v>
      </c>
      <c r="J1" s="61" t="s">
        <v>7</v>
      </c>
      <c r="K1" s="61" t="s">
        <v>8</v>
      </c>
      <c r="L1" s="63" t="s">
        <v>93</v>
      </c>
      <c r="M1" s="15" t="s">
        <v>94</v>
      </c>
      <c r="N1" s="15" t="s">
        <v>95</v>
      </c>
      <c r="O1" s="15" t="s">
        <v>96</v>
      </c>
      <c r="P1" s="15" t="s">
        <v>97</v>
      </c>
      <c r="Q1" s="16" t="s">
        <v>99</v>
      </c>
      <c r="R1" s="16" t="s">
        <v>98</v>
      </c>
      <c r="S1" s="14" t="s">
        <v>100</v>
      </c>
      <c r="T1" s="14" t="s">
        <v>101</v>
      </c>
      <c r="U1" s="22" t="s">
        <v>103</v>
      </c>
      <c r="V1" s="22" t="s">
        <v>183</v>
      </c>
      <c r="W1" s="22" t="s">
        <v>184</v>
      </c>
      <c r="X1" s="22" t="s">
        <v>102</v>
      </c>
      <c r="Y1" s="22" t="s">
        <v>114</v>
      </c>
      <c r="Z1" s="22" t="s">
        <v>115</v>
      </c>
      <c r="AA1" s="2" t="s">
        <v>56</v>
      </c>
      <c r="AB1" s="2" t="s">
        <v>218</v>
      </c>
      <c r="AC1" s="2" t="s">
        <v>219</v>
      </c>
      <c r="AD1" s="50" t="s">
        <v>186</v>
      </c>
      <c r="AE1" s="50" t="s">
        <v>187</v>
      </c>
      <c r="AF1" s="50" t="s">
        <v>188</v>
      </c>
      <c r="AG1" s="50" t="s">
        <v>189</v>
      </c>
      <c r="AH1" s="50" t="s">
        <v>190</v>
      </c>
      <c r="AI1" s="50" t="s">
        <v>191</v>
      </c>
      <c r="AJ1" s="22" t="s">
        <v>209</v>
      </c>
      <c r="AK1" s="22" t="s">
        <v>210</v>
      </c>
      <c r="AL1" s="22" t="s">
        <v>209</v>
      </c>
      <c r="AM1" s="22" t="s">
        <v>210</v>
      </c>
      <c r="AN1" s="46"/>
      <c r="AO1" s="46">
        <f>(0.21*I4+0.72*J4+0.07*K4)</f>
        <v>14.576999999999998</v>
      </c>
      <c r="AP1" s="46"/>
      <c r="AQ1" s="46"/>
      <c r="AR1" s="23" t="s">
        <v>122</v>
      </c>
      <c r="AS1" s="23" t="s">
        <v>123</v>
      </c>
      <c r="AT1" s="23" t="s">
        <v>121</v>
      </c>
      <c r="AU1" s="23" t="s">
        <v>120</v>
      </c>
      <c r="AW1" s="14" t="s">
        <v>133</v>
      </c>
      <c r="AX1" s="14" t="s">
        <v>134</v>
      </c>
      <c r="AY1" s="28" t="s">
        <v>135</v>
      </c>
      <c r="AZ1" s="40" t="s">
        <v>130</v>
      </c>
      <c r="BA1" s="40" t="s">
        <v>131</v>
      </c>
      <c r="BB1" s="41" t="s">
        <v>132</v>
      </c>
      <c r="BC1" s="24" t="s">
        <v>126</v>
      </c>
      <c r="BD1" s="24" t="s">
        <v>127</v>
      </c>
      <c r="BH1" s="14" t="s">
        <v>133</v>
      </c>
      <c r="BI1" s="14" t="s">
        <v>134</v>
      </c>
      <c r="BJ1" s="28" t="s">
        <v>135</v>
      </c>
      <c r="BK1" s="40" t="s">
        <v>130</v>
      </c>
      <c r="BL1" s="40" t="s">
        <v>131</v>
      </c>
      <c r="BM1" s="41" t="s">
        <v>132</v>
      </c>
      <c r="BN1" s="24" t="s">
        <v>126</v>
      </c>
      <c r="BO1" s="24" t="s">
        <v>127</v>
      </c>
      <c r="BP1" s="24"/>
      <c r="BQ1" s="24"/>
      <c r="BR1" s="24"/>
      <c r="BS1" s="24"/>
      <c r="BT1" s="24"/>
      <c r="BU1" s="24"/>
      <c r="BY1" t="s">
        <v>23</v>
      </c>
      <c r="BZ1" s="1"/>
      <c r="CA1" s="1" t="s">
        <v>24</v>
      </c>
      <c r="CC1" t="s">
        <v>25</v>
      </c>
    </row>
    <row r="2" spans="1:84" s="27" customFormat="1">
      <c r="A2" s="26" t="s">
        <v>116</v>
      </c>
      <c r="B2" s="7">
        <v>44950</v>
      </c>
      <c r="C2" t="s">
        <v>81</v>
      </c>
      <c r="D2">
        <v>5</v>
      </c>
      <c r="E2" t="s">
        <v>17</v>
      </c>
      <c r="F2" s="9"/>
      <c r="G2">
        <v>9</v>
      </c>
      <c r="H2">
        <v>9</v>
      </c>
      <c r="I2" s="61">
        <v>22.9</v>
      </c>
      <c r="J2" s="61">
        <v>14.7</v>
      </c>
      <c r="K2" s="61">
        <v>9.9</v>
      </c>
      <c r="L2" s="63">
        <f t="shared" ref="L2:L5" si="0">(I2+J2)/2</f>
        <v>18.799999999999997</v>
      </c>
      <c r="M2" s="15">
        <f t="shared" ref="M2:M5" si="1">I2/MAX($I2:$L2)</f>
        <v>1</v>
      </c>
      <c r="N2" s="15">
        <f t="shared" ref="N2:N5" si="2">J2/MAX($I2:$L2)</f>
        <v>0.64192139737991272</v>
      </c>
      <c r="O2" s="15">
        <f t="shared" ref="O2:O5" si="3">K2/MAX($I2:$L2)</f>
        <v>0.43231441048034941</v>
      </c>
      <c r="P2" s="15">
        <f t="shared" ref="P2:P5" si="4">L2/MAX($I2:$L2)</f>
        <v>0.82096069868995625</v>
      </c>
      <c r="Q2" s="16">
        <f t="shared" ref="Q2:Q5" si="5">P2-O2</f>
        <v>0.38864628820960684</v>
      </c>
      <c r="R2" s="16">
        <f t="shared" ref="R2:R5" si="6">M2-N2</f>
        <v>0.35807860262008728</v>
      </c>
      <c r="S2" s="28">
        <f t="shared" ref="S2:S5" si="7">IF($D2=5, R2,NA())</f>
        <v>0.35807860262008728</v>
      </c>
      <c r="T2" s="14" t="e">
        <f t="shared" ref="T2:T9" si="8">IF($D2=6, R2,NA())</f>
        <v>#N/A</v>
      </c>
      <c r="U2" s="22">
        <f t="shared" ref="U2:U33" si="9">SIGN(Q2)*ACOS(R2/X2)*(180/PI())</f>
        <v>47.344132474069824</v>
      </c>
      <c r="V2" s="22">
        <f>IF($D2=5, U2,"")</f>
        <v>47.344132474069824</v>
      </c>
      <c r="W2" s="22" t="str">
        <f>IF($D2=6, U2,"")</f>
        <v/>
      </c>
      <c r="X2" s="22">
        <f t="shared" ref="X2:X5" si="10">SQRT(Q2^2+R2^2)</f>
        <v>0.52845645326124946</v>
      </c>
      <c r="Y2" s="22">
        <f>IF($D2=5, X2,"")</f>
        <v>0.52845645326124946</v>
      </c>
      <c r="Z2" s="22" t="str">
        <f>IF($D2=6, X2,"")</f>
        <v/>
      </c>
      <c r="AA2" s="25">
        <f t="shared" ref="AA2:AA5" si="11">((I2^2)-J2)-K2</f>
        <v>499.81</v>
      </c>
      <c r="AB2" s="25">
        <f>IF(D2=5,0.2*I2+0.7*J2+0.07*K2,"")</f>
        <v>15.562999999999999</v>
      </c>
      <c r="AC2" s="25" t="str">
        <f>IF(D2=6,0.2*I2+0.7*J2+0.07*K2,"")</f>
        <v/>
      </c>
      <c r="AD2" s="51">
        <f>IF(D2=5,(U2-MIN($U$6:$U$59))/(MAX($U$6:$U$59)-MIN($U$6:$U$59)),"")</f>
        <v>0.79231826090830415</v>
      </c>
      <c r="AE2" s="51" t="str">
        <f t="shared" ref="AE2:AE7" si="12">IF(D2=6,(U2-MIN($U$6:$U$59))/(MAX($U$6:$U$59)-MIN($U$6:$U$59)),"")</f>
        <v/>
      </c>
      <c r="AF2" s="51">
        <f>IF(D2=5,(X2-MIN($X$2:$X$59))/(MAX($X$2:$X$59)-MIN($X$2:$X$59)),"")</f>
        <v>0.61304997815906181</v>
      </c>
      <c r="AG2" s="51" t="str">
        <f>IF(D2=6,(X2-MIN($X$2:$X$59))/(MAX($X$2:$X$59)-MIN($X$2:$X$59)),"")</f>
        <v/>
      </c>
      <c r="AH2" s="51">
        <f t="shared" ref="AH2:AH33" si="13">IF(D2=5,SQRT((AD2-$AO$9)^2+(AF2-$AO$10)^2),"")</f>
        <v>0.30559003593561096</v>
      </c>
      <c r="AI2" s="51" t="str">
        <f t="shared" ref="AI2:AI33" si="14">IF(D2=6,SQRT((AE2-$AP$9)^2+(AG2-$AP$10)^2),"")</f>
        <v/>
      </c>
      <c r="AJ2" s="55"/>
      <c r="AK2" s="55"/>
      <c r="AL2" s="55"/>
      <c r="AM2" s="55"/>
      <c r="AN2" s="24"/>
      <c r="AO2" s="24"/>
      <c r="AP2" s="24"/>
      <c r="AQ2" s="24"/>
      <c r="AR2" s="24">
        <f>MAX(Q2:Q5)-MIN(Q2:Q5)</f>
        <v>6.4122154309504797E-2</v>
      </c>
      <c r="AS2" s="24">
        <f>MAX(R2:R5)-MIN(R2:R5)</f>
        <v>8.7930787051274217E-2</v>
      </c>
      <c r="AT2" s="24">
        <f>MAX(X2:X5)-MIN(X2:X5)</f>
        <v>9.0425343203232589E-2</v>
      </c>
      <c r="AU2" s="24">
        <f>MAX(U2:U5)-MIN(U2:U5)</f>
        <v>5.5136259930155163</v>
      </c>
      <c r="AV2" s="24"/>
      <c r="AW2" s="43">
        <v>9.3888954721009839</v>
      </c>
      <c r="AX2" s="43">
        <v>43.588876253781059</v>
      </c>
      <c r="AY2" s="43">
        <v>2.2533072725844465</v>
      </c>
      <c r="AZ2" s="44">
        <v>10.562207305114935</v>
      </c>
      <c r="BA2" s="44">
        <v>43.512623503217753</v>
      </c>
      <c r="BB2" s="44">
        <v>2.6386019466497879</v>
      </c>
      <c r="BC2" s="42">
        <f t="array" ref="BC2">SQRT(SUM((BA6:BA38-BC6:BC38)^2))</f>
        <v>2.6941602577570674</v>
      </c>
      <c r="BD2" s="42" t="e">
        <f t="array" ref="BD2">SQRT(SUM((BB6:BB38-BD6:BD38)^2))</f>
        <v>#VALUE!</v>
      </c>
      <c r="BE2" s="45"/>
      <c r="BF2" s="45"/>
      <c r="BG2" s="45"/>
      <c r="BH2" s="43">
        <v>12.3547740532159</v>
      </c>
      <c r="BI2" s="43">
        <v>0.54144692240258196</v>
      </c>
      <c r="BJ2" s="43">
        <v>3.1500702600399978E-2</v>
      </c>
      <c r="BK2" s="44">
        <v>17.292509722267742</v>
      </c>
      <c r="BL2" s="44">
        <v>0.63350010437553184</v>
      </c>
      <c r="BM2" s="44">
        <v>2.51370411271356E-2</v>
      </c>
      <c r="BN2" s="42">
        <f t="array" ref="BN2">SQRT(SUM((BL6:BL17-BN6:BN17)^2))</f>
        <v>2.8848973926664718</v>
      </c>
      <c r="BO2" s="42">
        <f t="array" ref="BO2">SQRT(SUM((BM6:BM17-BO6:BO17)^2))</f>
        <v>5.3608568487994788</v>
      </c>
      <c r="BP2" s="24"/>
      <c r="BQ2" s="24"/>
      <c r="BR2" s="24"/>
      <c r="BS2" s="24"/>
      <c r="BT2" s="24"/>
      <c r="BU2" s="24"/>
      <c r="BZ2" s="30"/>
      <c r="CA2" s="30"/>
    </row>
    <row r="3" spans="1:84" s="27" customFormat="1">
      <c r="A3" s="26" t="s">
        <v>117</v>
      </c>
      <c r="B3" s="7">
        <v>44950</v>
      </c>
      <c r="C3" t="s">
        <v>81</v>
      </c>
      <c r="D3">
        <v>5</v>
      </c>
      <c r="E3" t="s">
        <v>17</v>
      </c>
      <c r="F3" s="9"/>
      <c r="G3">
        <v>9</v>
      </c>
      <c r="H3">
        <v>9</v>
      </c>
      <c r="I3" s="61">
        <v>23.5</v>
      </c>
      <c r="J3" s="61">
        <v>14.9</v>
      </c>
      <c r="K3" s="61">
        <v>10.3</v>
      </c>
      <c r="L3" s="63">
        <f t="shared" si="0"/>
        <v>19.2</v>
      </c>
      <c r="M3" s="15">
        <f t="shared" si="1"/>
        <v>1</v>
      </c>
      <c r="N3" s="15">
        <f t="shared" si="2"/>
        <v>0.63404255319148939</v>
      </c>
      <c r="O3" s="15">
        <f t="shared" si="3"/>
        <v>0.43829787234042555</v>
      </c>
      <c r="P3" s="15">
        <f t="shared" si="4"/>
        <v>0.81702127659574464</v>
      </c>
      <c r="Q3" s="16">
        <f t="shared" si="5"/>
        <v>0.37872340425531908</v>
      </c>
      <c r="R3" s="16">
        <f t="shared" si="6"/>
        <v>0.36595744680851061</v>
      </c>
      <c r="S3" s="28">
        <f t="shared" si="7"/>
        <v>0.36595744680851061</v>
      </c>
      <c r="T3" s="14" t="e">
        <f t="shared" si="8"/>
        <v>#N/A</v>
      </c>
      <c r="U3" s="22">
        <f t="shared" si="9"/>
        <v>45.982117163224189</v>
      </c>
      <c r="V3" s="22">
        <f t="shared" ref="V3:V60" si="15">IF($D3=5, U3,"")</f>
        <v>45.982117163224189</v>
      </c>
      <c r="W3" s="22" t="str">
        <f t="shared" ref="W3:W60" si="16">IF($D3=6, U3,"")</f>
        <v/>
      </c>
      <c r="X3" s="22">
        <f t="shared" si="10"/>
        <v>0.52664624730965448</v>
      </c>
      <c r="Y3" s="22">
        <f t="shared" ref="Y3:Y60" si="17">IF($D3=5, X3,"")</f>
        <v>0.52664624730965448</v>
      </c>
      <c r="Z3" s="22" t="str">
        <f t="shared" ref="Z3:Z60" si="18">IF($D3=6, X3,"")</f>
        <v/>
      </c>
      <c r="AA3" s="25">
        <f t="shared" si="11"/>
        <v>527.05000000000007</v>
      </c>
      <c r="AB3" s="25">
        <f t="shared" ref="AB3:AB13" si="19">IF(D3=5,0.2*I3+0.7*J3+0.07*K3,"")</f>
        <v>15.850999999999999</v>
      </c>
      <c r="AC3" s="25" t="str">
        <f t="shared" ref="AC3:AC13" si="20">IF(D3=6,0.2*I3+0.7*J3+0.07*K3,"")</f>
        <v/>
      </c>
      <c r="AD3" s="51">
        <f t="shared" ref="AD3:AD60" si="21">IF(D3=5,(U3-MIN($U$6:$U$59))/(MAX($U$6:$U$59)-MIN($U$6:$U$59)),"")</f>
        <v>0.72153209654400874</v>
      </c>
      <c r="AE3" s="51" t="str">
        <f t="shared" si="12"/>
        <v/>
      </c>
      <c r="AF3" s="51">
        <f t="shared" ref="AF3:AF60" si="22">IF(D3=5,(X3-MIN($X$2:$X$59))/(MAX($X$2:$X$59)-MIN($X$2:$X$59)),"")</f>
        <v>0.6073737553930294</v>
      </c>
      <c r="AG3" s="51" t="str">
        <f t="shared" ref="AG3:AG60" si="23">IF(D3=6,(X3-MIN($X$2:$X$59))/(MAX($X$2:$X$59)-MIN($X$2:$X$59)),"")</f>
        <v/>
      </c>
      <c r="AH3" s="51">
        <f t="shared" si="13"/>
        <v>0.24555139734712328</v>
      </c>
      <c r="AI3" s="51" t="str">
        <f t="shared" si="14"/>
        <v/>
      </c>
      <c r="AJ3" s="55"/>
      <c r="AK3" s="55"/>
      <c r="AL3" s="55"/>
      <c r="AM3" s="55"/>
      <c r="AN3" s="24"/>
      <c r="AO3" s="24" t="s">
        <v>205</v>
      </c>
      <c r="AP3" s="24"/>
      <c r="AQ3" s="24"/>
      <c r="AR3" s="24"/>
      <c r="AS3" s="24"/>
      <c r="AT3" s="24"/>
      <c r="AU3" s="24"/>
      <c r="AV3" s="24"/>
      <c r="AW3" s="24"/>
      <c r="AX3" s="24"/>
      <c r="AY3" s="25"/>
      <c r="AZ3" s="24"/>
      <c r="BA3" s="24"/>
      <c r="BB3" s="24"/>
      <c r="BC3" s="24"/>
      <c r="BD3" s="24"/>
      <c r="BE3" s="24"/>
      <c r="BF3" s="24"/>
      <c r="BG3" s="24"/>
      <c r="BN3" s="25"/>
      <c r="BO3" s="25"/>
    </row>
    <row r="4" spans="1:84" s="27" customFormat="1">
      <c r="A4" s="26" t="s">
        <v>118</v>
      </c>
      <c r="B4" s="7">
        <v>44950</v>
      </c>
      <c r="C4" t="s">
        <v>81</v>
      </c>
      <c r="D4">
        <v>5</v>
      </c>
      <c r="E4" t="s">
        <v>17</v>
      </c>
      <c r="F4" s="9"/>
      <c r="G4">
        <v>9</v>
      </c>
      <c r="H4">
        <v>9</v>
      </c>
      <c r="I4" s="61">
        <v>21.2</v>
      </c>
      <c r="J4" s="61">
        <v>13.1</v>
      </c>
      <c r="K4" s="61">
        <v>9.9</v>
      </c>
      <c r="L4" s="63">
        <f t="shared" si="0"/>
        <v>17.149999999999999</v>
      </c>
      <c r="M4" s="15">
        <f t="shared" si="1"/>
        <v>1</v>
      </c>
      <c r="N4" s="15">
        <f t="shared" si="2"/>
        <v>0.61792452830188682</v>
      </c>
      <c r="O4" s="15">
        <f t="shared" si="3"/>
        <v>0.46698113207547171</v>
      </c>
      <c r="P4" s="15">
        <f t="shared" si="4"/>
        <v>0.80896226415094341</v>
      </c>
      <c r="Q4" s="16">
        <f t="shared" si="5"/>
        <v>0.34198113207547171</v>
      </c>
      <c r="R4" s="16">
        <f t="shared" si="6"/>
        <v>0.38207547169811318</v>
      </c>
      <c r="S4" s="28">
        <f t="shared" si="7"/>
        <v>0.38207547169811318</v>
      </c>
      <c r="T4" s="14" t="e">
        <f t="shared" si="8"/>
        <v>#N/A</v>
      </c>
      <c r="U4" s="22">
        <f t="shared" si="9"/>
        <v>41.830506481054307</v>
      </c>
      <c r="V4" s="22">
        <f t="shared" si="15"/>
        <v>41.830506481054307</v>
      </c>
      <c r="W4" s="22" t="str">
        <f t="shared" si="16"/>
        <v/>
      </c>
      <c r="X4" s="22">
        <f t="shared" si="10"/>
        <v>0.51276969564216335</v>
      </c>
      <c r="Y4" s="22">
        <f t="shared" si="17"/>
        <v>0.51276969564216335</v>
      </c>
      <c r="Z4" s="22" t="str">
        <f t="shared" si="18"/>
        <v/>
      </c>
      <c r="AA4" s="25">
        <f t="shared" si="11"/>
        <v>426.44</v>
      </c>
      <c r="AB4" s="25">
        <f t="shared" si="19"/>
        <v>14.103</v>
      </c>
      <c r="AC4" s="25" t="str">
        <f t="shared" si="20"/>
        <v/>
      </c>
      <c r="AD4" s="51">
        <f t="shared" si="21"/>
        <v>0.50576609612938606</v>
      </c>
      <c r="AE4" s="51" t="str">
        <f t="shared" si="12"/>
        <v/>
      </c>
      <c r="AF4" s="51">
        <f t="shared" si="22"/>
        <v>0.56386135923742242</v>
      </c>
      <c r="AG4" s="51" t="str">
        <f t="shared" si="23"/>
        <v/>
      </c>
      <c r="AH4" s="51">
        <f t="shared" si="13"/>
        <v>0.12165400711029153</v>
      </c>
      <c r="AI4" s="51" t="str">
        <f t="shared" si="14"/>
        <v/>
      </c>
      <c r="AJ4" s="55"/>
      <c r="AK4" s="55"/>
      <c r="AL4" s="55"/>
      <c r="AM4" s="55"/>
      <c r="AN4" s="24"/>
      <c r="AO4" s="51" t="s">
        <v>206</v>
      </c>
      <c r="AP4" s="24"/>
      <c r="AQ4" s="24"/>
      <c r="AR4" s="24"/>
      <c r="AS4" s="24"/>
      <c r="AT4" s="24"/>
      <c r="AU4" s="24"/>
      <c r="AV4" s="24"/>
      <c r="AW4" s="24"/>
      <c r="AX4" s="24"/>
      <c r="AY4" s="25"/>
      <c r="AZ4" s="24"/>
      <c r="BA4" s="24"/>
      <c r="BB4" s="24"/>
      <c r="BC4" s="24"/>
      <c r="BD4" s="24"/>
      <c r="BE4" s="24"/>
      <c r="BF4" s="24"/>
      <c r="BG4" s="24"/>
      <c r="BN4" s="25"/>
      <c r="BO4" s="25"/>
      <c r="BV4" s="27" t="s">
        <v>19</v>
      </c>
      <c r="BW4" s="27" t="s">
        <v>9</v>
      </c>
      <c r="BX4" s="27" t="s">
        <v>10</v>
      </c>
      <c r="BY4" s="27" t="s">
        <v>11</v>
      </c>
      <c r="BZ4" s="27" t="s">
        <v>12</v>
      </c>
      <c r="CA4" s="27" t="s">
        <v>13</v>
      </c>
      <c r="CB4" s="27" t="s">
        <v>14</v>
      </c>
      <c r="CD4" s="27" t="s">
        <v>109</v>
      </c>
      <c r="CE4" s="27" t="s">
        <v>110</v>
      </c>
      <c r="CF4" s="27" t="s">
        <v>111</v>
      </c>
    </row>
    <row r="5" spans="1:84" s="32" customFormat="1">
      <c r="A5" s="31" t="s">
        <v>119</v>
      </c>
      <c r="B5" s="7">
        <v>44950</v>
      </c>
      <c r="C5" t="s">
        <v>81</v>
      </c>
      <c r="D5">
        <v>5</v>
      </c>
      <c r="E5" t="s">
        <v>17</v>
      </c>
      <c r="F5" s="9"/>
      <c r="G5">
        <v>9</v>
      </c>
      <c r="H5">
        <v>9</v>
      </c>
      <c r="I5" s="62">
        <v>21.3</v>
      </c>
      <c r="J5" s="62">
        <v>11.8</v>
      </c>
      <c r="K5" s="62">
        <v>7.9</v>
      </c>
      <c r="L5" s="64">
        <f t="shared" si="0"/>
        <v>16.55</v>
      </c>
      <c r="M5" s="35">
        <f t="shared" si="1"/>
        <v>1</v>
      </c>
      <c r="N5" s="35">
        <f t="shared" si="2"/>
        <v>0.5539906103286385</v>
      </c>
      <c r="O5" s="35">
        <f t="shared" si="3"/>
        <v>0.37089201877934275</v>
      </c>
      <c r="P5" s="35">
        <f t="shared" si="4"/>
        <v>0.77699530516431925</v>
      </c>
      <c r="Q5" s="36">
        <f t="shared" si="5"/>
        <v>0.4061032863849765</v>
      </c>
      <c r="R5" s="36">
        <f t="shared" si="6"/>
        <v>0.4460093896713615</v>
      </c>
      <c r="S5" s="37">
        <f t="shared" si="7"/>
        <v>0.4460093896713615</v>
      </c>
      <c r="T5" s="37" t="e">
        <f t="shared" si="8"/>
        <v>#N/A</v>
      </c>
      <c r="U5" s="38">
        <f t="shared" si="9"/>
        <v>42.318685682324514</v>
      </c>
      <c r="V5" s="38">
        <f t="shared" si="15"/>
        <v>42.318685682324514</v>
      </c>
      <c r="W5" s="38" t="str">
        <f t="shared" si="16"/>
        <v/>
      </c>
      <c r="X5" s="38">
        <f t="shared" si="10"/>
        <v>0.60319503884539594</v>
      </c>
      <c r="Y5" s="38">
        <f t="shared" si="17"/>
        <v>0.60319503884539594</v>
      </c>
      <c r="Z5" s="38" t="str">
        <f t="shared" si="18"/>
        <v/>
      </c>
      <c r="AA5" s="39">
        <f t="shared" si="11"/>
        <v>433.99000000000007</v>
      </c>
      <c r="AB5" s="25">
        <f t="shared" si="19"/>
        <v>13.073</v>
      </c>
      <c r="AC5" s="25" t="str">
        <f t="shared" si="20"/>
        <v/>
      </c>
      <c r="AD5" s="51">
        <f t="shared" si="21"/>
        <v>0.53113756802487322</v>
      </c>
      <c r="AE5" s="51" t="str">
        <f t="shared" si="12"/>
        <v/>
      </c>
      <c r="AF5" s="57">
        <f t="shared" si="22"/>
        <v>0.84740610797953952</v>
      </c>
      <c r="AG5" s="57" t="str">
        <f t="shared" si="23"/>
        <v/>
      </c>
      <c r="AH5" s="57">
        <f t="shared" si="13"/>
        <v>0.4013246596064432</v>
      </c>
      <c r="AI5" s="57" t="str">
        <f t="shared" si="14"/>
        <v/>
      </c>
      <c r="AJ5" s="58"/>
      <c r="AK5" s="58"/>
      <c r="AL5" s="58"/>
      <c r="AM5" s="58"/>
      <c r="AN5" s="24"/>
      <c r="AO5" s="24"/>
      <c r="AP5" s="24"/>
      <c r="AQ5" s="24"/>
      <c r="AR5" s="24"/>
      <c r="AS5" s="48" t="s">
        <v>176</v>
      </c>
      <c r="AT5" s="48" t="s">
        <v>177</v>
      </c>
      <c r="AU5" s="48" t="s">
        <v>178</v>
      </c>
      <c r="AV5" s="48" t="s">
        <v>179</v>
      </c>
      <c r="AW5" s="24"/>
      <c r="AX5" s="23" t="s">
        <v>138</v>
      </c>
      <c r="AY5" s="25" t="s">
        <v>139</v>
      </c>
      <c r="AZ5" s="23" t="s">
        <v>88</v>
      </c>
      <c r="BA5" s="23" t="s">
        <v>124</v>
      </c>
      <c r="BB5" s="23" t="s">
        <v>125</v>
      </c>
      <c r="BC5" s="28" t="s">
        <v>128</v>
      </c>
      <c r="BD5" s="41" t="s">
        <v>129</v>
      </c>
      <c r="BE5" s="24" t="s">
        <v>140</v>
      </c>
      <c r="BF5" s="24" t="s">
        <v>142</v>
      </c>
      <c r="BG5" s="24" t="s">
        <v>141</v>
      </c>
      <c r="BH5" s="24"/>
      <c r="BI5" s="27" t="s">
        <v>136</v>
      </c>
      <c r="BJ5" s="27" t="s">
        <v>137</v>
      </c>
      <c r="BK5" s="29" t="s">
        <v>88</v>
      </c>
      <c r="BL5" s="29" t="s">
        <v>124</v>
      </c>
      <c r="BM5" s="29" t="s">
        <v>125</v>
      </c>
      <c r="BN5" s="47" t="s">
        <v>128</v>
      </c>
      <c r="BO5" s="41" t="s">
        <v>129</v>
      </c>
      <c r="BP5" s="29" t="s">
        <v>140</v>
      </c>
      <c r="BQ5" s="29" t="s">
        <v>142</v>
      </c>
      <c r="BR5" s="29" t="s">
        <v>141</v>
      </c>
      <c r="BS5" s="29"/>
      <c r="BT5" s="29"/>
      <c r="BU5" s="27" t="s">
        <v>20</v>
      </c>
      <c r="BV5" s="27" t="s">
        <v>18</v>
      </c>
      <c r="BW5" s="27">
        <v>22.9</v>
      </c>
      <c r="BX5" s="27">
        <v>14.7</v>
      </c>
      <c r="BY5" s="27">
        <v>9.9</v>
      </c>
      <c r="BZ5" s="27">
        <v>23.5</v>
      </c>
      <c r="CA5" s="27">
        <v>14.9</v>
      </c>
      <c r="CB5" s="27">
        <v>10.3</v>
      </c>
      <c r="CC5" s="27"/>
      <c r="CD5" s="27">
        <f>MAX(BW5:BW6,BZ5:BZ6)-MIN(BW5:BW6,BZ5:BZ6)</f>
        <v>2.3000000000000007</v>
      </c>
      <c r="CE5" s="27">
        <f t="shared" ref="CE5:CF5" si="24">MAX(BX5:BX6,CA5:CA6)-MIN(BX5:BX6,CA5:CA6)</f>
        <v>3.0999999999999996</v>
      </c>
      <c r="CF5" s="27">
        <f t="shared" si="24"/>
        <v>2.4000000000000004</v>
      </c>
    </row>
    <row r="6" spans="1:84">
      <c r="A6" t="s">
        <v>18</v>
      </c>
      <c r="B6" s="7">
        <v>44950</v>
      </c>
      <c r="C6" t="s">
        <v>81</v>
      </c>
      <c r="D6">
        <v>5</v>
      </c>
      <c r="E6" t="s">
        <v>17</v>
      </c>
      <c r="G6">
        <v>9</v>
      </c>
      <c r="H6">
        <v>9</v>
      </c>
      <c r="I6" s="61">
        <v>22.5</v>
      </c>
      <c r="J6" s="61">
        <v>14.5</v>
      </c>
      <c r="K6" s="61">
        <v>10</v>
      </c>
      <c r="L6" s="63">
        <f>(I6+J6)/2</f>
        <v>18.5</v>
      </c>
      <c r="M6" s="15">
        <f>I6/MAX($I6:$L6)</f>
        <v>1</v>
      </c>
      <c r="N6" s="15">
        <f>J6/MAX($I6:$L6)</f>
        <v>0.64444444444444449</v>
      </c>
      <c r="O6" s="15">
        <f>K6/MAX($I6:$L6)</f>
        <v>0.44444444444444442</v>
      </c>
      <c r="P6" s="15">
        <f>L6/MAX($I6:$L6)</f>
        <v>0.82222222222222219</v>
      </c>
      <c r="Q6" s="16">
        <f>P6-O6</f>
        <v>0.37777777777777777</v>
      </c>
      <c r="R6" s="16">
        <f>M6-N6</f>
        <v>0.35555555555555551</v>
      </c>
      <c r="S6" s="14">
        <f>IF($D6=5, R6,NA())</f>
        <v>0.35555555555555551</v>
      </c>
      <c r="T6" s="14" t="e">
        <f t="shared" si="8"/>
        <v>#N/A</v>
      </c>
      <c r="U6" s="22">
        <f t="shared" si="9"/>
        <v>46.735704588928392</v>
      </c>
      <c r="V6" s="22">
        <f t="shared" si="15"/>
        <v>46.735704588928392</v>
      </c>
      <c r="W6" s="22" t="str">
        <f t="shared" si="16"/>
        <v/>
      </c>
      <c r="X6" s="22">
        <f>SQRT(Q6^2+R6^2)</f>
        <v>0.51878300133016675</v>
      </c>
      <c r="Y6" s="22">
        <f t="shared" si="17"/>
        <v>0.51878300133016675</v>
      </c>
      <c r="Z6" s="22" t="str">
        <f t="shared" si="18"/>
        <v/>
      </c>
      <c r="AA6" s="2">
        <f>((I6^2)-J6)-K6</f>
        <v>481.75</v>
      </c>
      <c r="AB6" s="25">
        <f t="shared" si="19"/>
        <v>15.349999999999998</v>
      </c>
      <c r="AC6" s="25" t="str">
        <f t="shared" si="20"/>
        <v/>
      </c>
      <c r="AD6" s="51">
        <f t="shared" si="21"/>
        <v>0.76069726814963823</v>
      </c>
      <c r="AE6" s="51" t="str">
        <f t="shared" si="12"/>
        <v/>
      </c>
      <c r="AF6" s="51">
        <f t="shared" si="22"/>
        <v>0.58271714888681703</v>
      </c>
      <c r="AG6" s="51" t="str">
        <f t="shared" si="23"/>
        <v/>
      </c>
      <c r="AH6" s="51">
        <f t="shared" si="13"/>
        <v>0.26266004896202</v>
      </c>
      <c r="AI6" s="51" t="str">
        <f t="shared" si="14"/>
        <v/>
      </c>
      <c r="AJ6" s="55">
        <f t="shared" ref="AJ6:AJ37" si="25">IF(AD6="","",$AP$13*AD6+$AP$14)</f>
        <v>0.51299429423703935</v>
      </c>
      <c r="AK6" s="55" t="str">
        <f t="shared" ref="AK6:AK37" si="26">IF(AE6="","",$AP$13*AE6+$AP$14)</f>
        <v/>
      </c>
      <c r="AL6" s="55" t="str">
        <f t="shared" ref="AL6:AL60" si="27">IF(AJ6&gt;AF6,1,"")</f>
        <v/>
      </c>
      <c r="AM6" s="55" t="str">
        <f t="shared" ref="AM6:AM60" si="28">IF(AK6&lt;AG6,1,"")</f>
        <v/>
      </c>
      <c r="AN6" s="24"/>
      <c r="AP6" s="24"/>
      <c r="AQ6" s="24"/>
      <c r="AR6" s="24"/>
      <c r="AS6" s="49">
        <f>SUM(AS7:AS59)</f>
        <v>9</v>
      </c>
      <c r="AT6" s="49">
        <f>SUM(AT7:AT59)</f>
        <v>14</v>
      </c>
      <c r="AU6" s="49">
        <f t="shared" ref="AU6:AV6" si="29">SUM(AU7:AU59)</f>
        <v>11</v>
      </c>
      <c r="AV6" s="49">
        <f t="shared" si="29"/>
        <v>19</v>
      </c>
      <c r="AW6" s="24"/>
      <c r="AX6" s="24">
        <f t="shared" ref="AX6:AX37" si="30">IF(D6=5,MROUND(U6, 2.5),"")</f>
        <v>47.5</v>
      </c>
      <c r="AY6" s="2" t="str">
        <f t="shared" ref="AY6:AY37" si="31">IF(D6=6,MROUND(U6, 2.5),"")</f>
        <v/>
      </c>
      <c r="AZ6" s="24">
        <v>30</v>
      </c>
      <c r="BA6" s="42">
        <f t="array" ref="BA6:BA16">FREQUENCY(AX6:AX59,AZ6:AZ16)</f>
        <v>0</v>
      </c>
      <c r="BB6" s="42">
        <f t="array" ref="BB6:BB16">FREQUENCY(AY6:AY59,AZ6:AZ16)</f>
        <v>0</v>
      </c>
      <c r="BC6" s="28">
        <f t="shared" ref="BC6:BC16" si="32">$AW$2*(2.71828^(-((AZ6-$AX$2)^2)/(2*($AY$2^2))))</f>
        <v>1.1892816443303036E-7</v>
      </c>
      <c r="BD6" s="41">
        <f t="shared" ref="BD6:BD16" si="33">$AZ$2*(2.71828^(-((AZ6-$BA$2)^2)/(2*($BB$2^2))))</f>
        <v>2.1323624387013131E-5</v>
      </c>
      <c r="BE6" s="25">
        <v>25</v>
      </c>
      <c r="BF6" s="25">
        <f>$AW$2*(2.71828^(-((BE6-$AX$2)^2)/(2*($AY$2^2))))</f>
        <v>1.5648953336588146E-14</v>
      </c>
      <c r="BG6" s="25">
        <f>$AZ$2*(2.71828^(-((BE6-$BA$2)^2)/(2*($BB$2^2))))</f>
        <v>2.1608692835896946E-10</v>
      </c>
      <c r="BH6" s="27"/>
      <c r="BI6" s="27">
        <f t="shared" ref="BI6:BI37" si="34">IF(D6=5,MROUND(X6, 0.05),"")</f>
        <v>0.5</v>
      </c>
      <c r="BJ6" s="27" t="str">
        <f t="shared" ref="BJ6:BJ37" si="35">IF(D6=6,MROUND(X6, 0.05),"")</f>
        <v/>
      </c>
      <c r="BK6" s="27">
        <v>0.3</v>
      </c>
      <c r="BL6" s="27">
        <f t="array" ref="BL6:BL17">FREQUENCY(BI6:BI59,BK6:BK17)</f>
        <v>0</v>
      </c>
      <c r="BM6" s="27">
        <f t="array" ref="BM6:BM17">FREQUENCY(BJ6:BJ59,BK6:BK17)</f>
        <v>0</v>
      </c>
      <c r="BN6" s="47">
        <f>$BH$2*(2.71828^(-((BK6-$BI$2)^2)/(2*($BJ$2^2))))</f>
        <v>2.160677607824168E-12</v>
      </c>
      <c r="BO6" s="41">
        <f>$BK$2*(2.71828^(-((BK6-$BL$2)^2)/(2*($BM$2^2))))</f>
        <v>1.0362959098423016E-37</v>
      </c>
      <c r="BP6" s="27">
        <v>0.2</v>
      </c>
      <c r="BQ6" s="25">
        <f>$BH$2*(2.71828^(-((BP6-$BI$2)^2)/(2*($BJ$2^2))))</f>
        <v>3.7925184881403499E-25</v>
      </c>
      <c r="BR6" s="25">
        <f>$BK$2*(2.71828^(-((BP6-$BL$2)^2)/(2*($BM$2^2))))</f>
        <v>4.5389280398997329E-64</v>
      </c>
      <c r="BS6" s="25"/>
      <c r="BT6" s="25"/>
      <c r="BU6" s="27" t="s">
        <v>21</v>
      </c>
      <c r="BV6" s="27" t="s">
        <v>18</v>
      </c>
      <c r="BW6" s="27">
        <v>21.2</v>
      </c>
      <c r="BX6" s="27">
        <v>13.1</v>
      </c>
      <c r="BY6" s="27">
        <v>9.9</v>
      </c>
      <c r="BZ6" s="27">
        <v>21.3</v>
      </c>
      <c r="CA6" s="27">
        <v>11.8</v>
      </c>
      <c r="CB6" s="27">
        <v>7.9</v>
      </c>
      <c r="CC6" s="27"/>
      <c r="CD6" s="27"/>
      <c r="CE6" s="27"/>
      <c r="CF6" s="27"/>
    </row>
    <row r="7" spans="1:84">
      <c r="A7" t="s">
        <v>5</v>
      </c>
      <c r="B7" s="7">
        <v>44950</v>
      </c>
      <c r="C7" t="s">
        <v>81</v>
      </c>
      <c r="D7">
        <v>5</v>
      </c>
      <c r="E7" t="s">
        <v>17</v>
      </c>
      <c r="G7">
        <v>9</v>
      </c>
      <c r="H7">
        <v>9</v>
      </c>
      <c r="I7" s="61">
        <v>22.5</v>
      </c>
      <c r="J7" s="61">
        <v>13.3</v>
      </c>
      <c r="K7" s="61">
        <v>8.6999999999999993</v>
      </c>
      <c r="L7" s="63">
        <f>(I7+J7)/2</f>
        <v>17.899999999999999</v>
      </c>
      <c r="M7" s="15">
        <f t="shared" ref="M7:M60" si="36">I7/MAX($I7:$L7)</f>
        <v>1</v>
      </c>
      <c r="N7" s="15">
        <f t="shared" ref="N7:P7" si="37">J7/MAX($I7:$L7)</f>
        <v>0.59111111111111114</v>
      </c>
      <c r="O7" s="15">
        <f t="shared" si="37"/>
        <v>0.38666666666666666</v>
      </c>
      <c r="P7" s="15">
        <f t="shared" si="37"/>
        <v>0.79555555555555546</v>
      </c>
      <c r="Q7" s="16">
        <f>P7-O7</f>
        <v>0.4088888888888888</v>
      </c>
      <c r="R7" s="16">
        <f>M7-N7</f>
        <v>0.40888888888888886</v>
      </c>
      <c r="S7" s="14">
        <f t="shared" ref="S7:S60" si="38">IF($D7=5, R7,NA())</f>
        <v>0.40888888888888886</v>
      </c>
      <c r="T7" s="14" t="e">
        <f t="shared" si="8"/>
        <v>#N/A</v>
      </c>
      <c r="U7" s="22">
        <f t="shared" si="9"/>
        <v>44.999999999999993</v>
      </c>
      <c r="V7" s="22">
        <f t="shared" si="15"/>
        <v>44.999999999999993</v>
      </c>
      <c r="W7" s="22" t="str">
        <f t="shared" si="16"/>
        <v/>
      </c>
      <c r="X7" s="22">
        <f>SQRT(Q7^2+R7^2)</f>
        <v>0.57825621217033207</v>
      </c>
      <c r="Y7" s="22">
        <f t="shared" si="17"/>
        <v>0.57825621217033207</v>
      </c>
      <c r="Z7" s="22" t="str">
        <f t="shared" si="18"/>
        <v/>
      </c>
      <c r="AA7" s="2">
        <f>((I7^2)-J7)-K7</f>
        <v>484.25</v>
      </c>
      <c r="AB7" s="25">
        <f t="shared" si="19"/>
        <v>14.419</v>
      </c>
      <c r="AC7" s="25" t="str">
        <f t="shared" si="20"/>
        <v/>
      </c>
      <c r="AD7" s="51">
        <f t="shared" si="21"/>
        <v>0.67048986053726345</v>
      </c>
      <c r="AE7" s="51" t="str">
        <f t="shared" si="12"/>
        <v/>
      </c>
      <c r="AF7" s="51">
        <f t="shared" si="22"/>
        <v>0.76920598074738322</v>
      </c>
      <c r="AG7" s="51" t="str">
        <f t="shared" si="23"/>
        <v/>
      </c>
      <c r="AH7" s="51">
        <f t="shared" si="13"/>
        <v>0.34982881082579015</v>
      </c>
      <c r="AI7" s="51" t="str">
        <f t="shared" si="14"/>
        <v/>
      </c>
      <c r="AJ7" s="55">
        <f t="shared" si="25"/>
        <v>0.54283338854999652</v>
      </c>
      <c r="AK7" s="55" t="str">
        <f t="shared" si="26"/>
        <v/>
      </c>
      <c r="AL7" s="55" t="str">
        <f t="shared" si="27"/>
        <v/>
      </c>
      <c r="AM7" s="55" t="str">
        <f t="shared" si="28"/>
        <v/>
      </c>
      <c r="AN7" s="24"/>
      <c r="AO7" s="24"/>
      <c r="AP7" s="24"/>
      <c r="AQ7" s="24"/>
      <c r="AR7" s="24"/>
      <c r="AS7" s="42">
        <f>IF((D6=5)*(E6="F"),1,0)</f>
        <v>1</v>
      </c>
      <c r="AT7" s="42">
        <f>IF((D6=5)*(E6="M"),1,0)</f>
        <v>0</v>
      </c>
      <c r="AU7" s="42">
        <f>IF((D6=6)*(E6="F"),1,0)</f>
        <v>0</v>
      </c>
      <c r="AV7" s="42">
        <f>IF((D6=6)*(E6="M"),1,0)</f>
        <v>0</v>
      </c>
      <c r="AW7" s="24"/>
      <c r="AX7" s="24">
        <f t="shared" si="30"/>
        <v>45</v>
      </c>
      <c r="AY7" s="2" t="str">
        <f t="shared" si="31"/>
        <v/>
      </c>
      <c r="AZ7" s="24">
        <f>AZ6+2.5</f>
        <v>32.5</v>
      </c>
      <c r="BA7" s="42">
        <v>2</v>
      </c>
      <c r="BB7" s="42">
        <v>0</v>
      </c>
      <c r="BC7" s="28">
        <f t="shared" si="32"/>
        <v>5.1736262534865843E-5</v>
      </c>
      <c r="BD7" s="41">
        <f t="shared" si="33"/>
        <v>1.7425171158385086E-3</v>
      </c>
      <c r="BE7" s="25">
        <f>BE6+0.4</f>
        <v>25.4</v>
      </c>
      <c r="BF7" s="25">
        <f t="shared" ref="BF7:BF70" si="39">$AW$2*(2.71828^(-((BE7-$AX$2)^2)/(2*($AY$2^2))))</f>
        <v>6.6625629658078913E-14</v>
      </c>
      <c r="BG7" s="25">
        <f t="shared" ref="BG7:BG70" si="40">$AZ$2*(2.71828^(-((BE7-$BA$2)^2)/(2*($BB$2^2))))</f>
        <v>6.1880739455436248E-10</v>
      </c>
      <c r="BI7" s="27">
        <f t="shared" si="34"/>
        <v>0.60000000000000009</v>
      </c>
      <c r="BJ7" s="27" t="str">
        <f t="shared" si="35"/>
        <v/>
      </c>
      <c r="BK7">
        <f>BK6+0.05</f>
        <v>0.35</v>
      </c>
      <c r="BL7">
        <v>0</v>
      </c>
      <c r="BM7">
        <v>0</v>
      </c>
      <c r="BN7" s="47">
        <f t="shared" ref="BN7:BN17" si="41">$BH$2*(2.71828^(-((BK7-$BI$2)^2)/(2*($BJ$2^2))))</f>
        <v>1.1780693339922121E-7</v>
      </c>
      <c r="BO7" s="41">
        <f t="shared" ref="BO7:BO17" si="42">$BK$2*(2.71828^(-((BK7-$BL$2)^2)/(2*($BM$2^2))))</f>
        <v>4.1430336021823219E-27</v>
      </c>
      <c r="BP7">
        <f>BP6+0.01</f>
        <v>0.21000000000000002</v>
      </c>
      <c r="BQ7" s="25">
        <f t="shared" ref="BQ7:BQ70" si="43">$BH$2*(2.71828^(-((BP7-$BI$2)^2)/(2*($BJ$2^2))))</f>
        <v>1.1257552042372354E-23</v>
      </c>
      <c r="BR7" s="25">
        <f t="shared" ref="BR7:BR70" si="44">$BK$2*(2.71828^(-((BP7-$BL$2)^2)/(2*($BM$2^2))))</f>
        <v>4.0003502239910737E-61</v>
      </c>
      <c r="BS7" s="25"/>
      <c r="BT7" s="25"/>
    </row>
    <row r="8" spans="1:84">
      <c r="A8" t="s">
        <v>58</v>
      </c>
      <c r="B8" s="7">
        <v>44950</v>
      </c>
      <c r="C8" t="s">
        <v>81</v>
      </c>
      <c r="D8">
        <v>5</v>
      </c>
      <c r="E8" t="s">
        <v>26</v>
      </c>
      <c r="F8" s="9">
        <v>0</v>
      </c>
      <c r="G8">
        <v>9</v>
      </c>
      <c r="H8">
        <v>9</v>
      </c>
      <c r="I8" s="61">
        <v>22.2</v>
      </c>
      <c r="J8" s="61">
        <v>14.4</v>
      </c>
      <c r="K8" s="61">
        <v>10.5</v>
      </c>
      <c r="L8" s="63">
        <f t="shared" ref="L8:L30" si="45">(I8+J8)/2</f>
        <v>18.3</v>
      </c>
      <c r="M8" s="15">
        <f t="shared" si="36"/>
        <v>1</v>
      </c>
      <c r="N8" s="15">
        <f t="shared" ref="N8:N60" si="46">J8/MAX($I8:$L8)</f>
        <v>0.64864864864864868</v>
      </c>
      <c r="O8" s="15">
        <f t="shared" ref="O8:O60" si="47">K8/MAX($I8:$L8)</f>
        <v>0.47297297297297297</v>
      </c>
      <c r="P8" s="15">
        <f t="shared" ref="P8:P60" si="48">L8/MAX($I8:$L8)</f>
        <v>0.82432432432432434</v>
      </c>
      <c r="Q8" s="16">
        <f t="shared" ref="Q8:Q60" si="49">P8-O8</f>
        <v>0.35135135135135137</v>
      </c>
      <c r="R8" s="16">
        <f t="shared" ref="R8:R60" si="50">M8-N8</f>
        <v>0.35135135135135132</v>
      </c>
      <c r="S8" s="14">
        <f t="shared" si="38"/>
        <v>0.35135135135135132</v>
      </c>
      <c r="T8" s="14" t="e">
        <f t="shared" si="8"/>
        <v>#N/A</v>
      </c>
      <c r="U8" s="22">
        <f t="shared" si="9"/>
        <v>45</v>
      </c>
      <c r="V8" s="22">
        <f t="shared" si="15"/>
        <v>45</v>
      </c>
      <c r="W8" s="22" t="str">
        <f t="shared" si="16"/>
        <v/>
      </c>
      <c r="X8" s="22">
        <f t="shared" ref="X8:X60" si="51">SQRT(Q8^2+R8^2)</f>
        <v>0.49688584623919557</v>
      </c>
      <c r="Y8" s="22">
        <f t="shared" si="17"/>
        <v>0.49688584623919557</v>
      </c>
      <c r="Z8" s="22" t="str">
        <f t="shared" si="18"/>
        <v/>
      </c>
      <c r="AA8" s="2">
        <f t="shared" ref="AA8:AA18" si="52">((I8^2)-J8)-K8</f>
        <v>467.94</v>
      </c>
      <c r="AB8" s="25">
        <f t="shared" si="19"/>
        <v>15.254999999999999</v>
      </c>
      <c r="AC8" s="25" t="str">
        <f t="shared" si="20"/>
        <v/>
      </c>
      <c r="AD8" s="51">
        <f t="shared" si="21"/>
        <v>0.67048986053726389</v>
      </c>
      <c r="AE8" s="51" t="str">
        <f>IF(D8=6,(U8-MIN($U$6:$U$59))/(MAX($U$6:$U$59)-MIN($U$6:$U$59)),"")</f>
        <v/>
      </c>
      <c r="AF8" s="51">
        <f t="shared" si="22"/>
        <v>0.51405472396815066</v>
      </c>
      <c r="AG8" s="51" t="str">
        <f t="shared" si="23"/>
        <v/>
      </c>
      <c r="AH8" s="51">
        <f t="shared" si="13"/>
        <v>0.15036088385244983</v>
      </c>
      <c r="AI8" s="51" t="str">
        <f t="shared" si="14"/>
        <v/>
      </c>
      <c r="AJ8" s="55">
        <f t="shared" si="25"/>
        <v>0.5428333885499963</v>
      </c>
      <c r="AK8" s="55" t="str">
        <f t="shared" si="26"/>
        <v/>
      </c>
      <c r="AL8" s="55">
        <f t="shared" si="27"/>
        <v>1</v>
      </c>
      <c r="AM8" s="55" t="str">
        <f t="shared" si="28"/>
        <v/>
      </c>
      <c r="AN8" s="51"/>
      <c r="AO8" s="53" t="s">
        <v>185</v>
      </c>
      <c r="AP8" s="53" t="s">
        <v>182</v>
      </c>
      <c r="AQ8" s="56" t="s">
        <v>207</v>
      </c>
      <c r="AR8" s="24"/>
      <c r="AS8" s="42">
        <f t="shared" ref="AS8:AS59" si="53">IF((D7=5)*(E7="F"),1,0)</f>
        <v>1</v>
      </c>
      <c r="AT8" s="42">
        <f t="shared" ref="AT8:AT59" si="54">IF((D7=5)*(E7="M"),1,0)</f>
        <v>0</v>
      </c>
      <c r="AU8" s="42">
        <f t="shared" ref="AU8:AU59" si="55">IF((D7=6)*(E7="F"),1,0)</f>
        <v>0</v>
      </c>
      <c r="AV8" s="42">
        <f t="shared" ref="AV8:AV59" si="56">IF((D7=6)*(E7="M"),1,0)</f>
        <v>0</v>
      </c>
      <c r="AW8" s="24"/>
      <c r="AX8" s="24">
        <f t="shared" si="30"/>
        <v>45</v>
      </c>
      <c r="AY8" s="2" t="str">
        <f t="shared" si="31"/>
        <v/>
      </c>
      <c r="AZ8" s="24">
        <f t="shared" ref="AZ8:AZ16" si="57">AZ7+2.5</f>
        <v>35</v>
      </c>
      <c r="BA8" s="42">
        <v>1</v>
      </c>
      <c r="BB8" s="42">
        <v>0</v>
      </c>
      <c r="BC8" s="28">
        <f t="shared" si="32"/>
        <v>6.5722257307285403E-3</v>
      </c>
      <c r="BD8" s="41">
        <f t="shared" si="33"/>
        <v>5.8026484246180163E-2</v>
      </c>
      <c r="BE8" s="25">
        <f t="shared" ref="BE8:BE73" si="58">BE7+0.4</f>
        <v>25.799999999999997</v>
      </c>
      <c r="BF8" s="25">
        <f t="shared" si="39"/>
        <v>2.748601496920662E-13</v>
      </c>
      <c r="BG8" s="25">
        <f t="shared" si="40"/>
        <v>1.7318166180022211E-9</v>
      </c>
      <c r="BI8" s="27">
        <f t="shared" si="34"/>
        <v>0.5</v>
      </c>
      <c r="BJ8" s="27" t="str">
        <f t="shared" si="35"/>
        <v/>
      </c>
      <c r="BK8">
        <f t="shared" ref="BK8:BK17" si="59">BK7+0.05</f>
        <v>0.39999999999999997</v>
      </c>
      <c r="BL8">
        <v>2</v>
      </c>
      <c r="BM8">
        <v>0</v>
      </c>
      <c r="BN8" s="47">
        <f t="shared" si="41"/>
        <v>5.1711233366157452E-4</v>
      </c>
      <c r="BO8" s="41">
        <f t="shared" si="42"/>
        <v>3.1685902355613248E-18</v>
      </c>
      <c r="BP8">
        <f t="shared" ref="BP8:BP71" si="60">BP7+0.01</f>
        <v>0.22000000000000003</v>
      </c>
      <c r="BQ8" s="25">
        <f t="shared" si="43"/>
        <v>3.0212978849920897E-22</v>
      </c>
      <c r="BR8" s="25">
        <f t="shared" si="44"/>
        <v>3.0096171298623879E-58</v>
      </c>
      <c r="BS8" s="25"/>
      <c r="BT8" s="25"/>
      <c r="CD8" s="2"/>
      <c r="CE8" s="2"/>
    </row>
    <row r="9" spans="1:84">
      <c r="A9" t="s">
        <v>59</v>
      </c>
      <c r="B9" s="7">
        <v>44950</v>
      </c>
      <c r="C9" t="s">
        <v>81</v>
      </c>
      <c r="D9">
        <v>5</v>
      </c>
      <c r="E9" t="s">
        <v>26</v>
      </c>
      <c r="F9" s="9">
        <v>1</v>
      </c>
      <c r="G9">
        <v>9</v>
      </c>
      <c r="H9">
        <v>9</v>
      </c>
      <c r="I9" s="61">
        <v>25.2</v>
      </c>
      <c r="J9" s="61">
        <v>17</v>
      </c>
      <c r="K9" s="61">
        <v>12.3</v>
      </c>
      <c r="L9" s="63">
        <f t="shared" si="45"/>
        <v>21.1</v>
      </c>
      <c r="M9" s="15">
        <f t="shared" si="36"/>
        <v>1</v>
      </c>
      <c r="N9" s="15">
        <f t="shared" si="46"/>
        <v>0.67460317460317465</v>
      </c>
      <c r="O9" s="15">
        <f t="shared" si="47"/>
        <v>0.48809523809523814</v>
      </c>
      <c r="P9" s="15">
        <f t="shared" si="48"/>
        <v>0.83730158730158744</v>
      </c>
      <c r="Q9" s="16">
        <f t="shared" si="49"/>
        <v>0.3492063492063493</v>
      </c>
      <c r="R9" s="16">
        <f t="shared" si="50"/>
        <v>0.32539682539682535</v>
      </c>
      <c r="S9" s="14">
        <f t="shared" si="38"/>
        <v>0.32539682539682535</v>
      </c>
      <c r="T9" s="14" t="e">
        <f t="shared" si="8"/>
        <v>#N/A</v>
      </c>
      <c r="U9" s="22">
        <f t="shared" si="9"/>
        <v>47.021364940356023</v>
      </c>
      <c r="V9" s="22">
        <f t="shared" si="15"/>
        <v>47.021364940356023</v>
      </c>
      <c r="W9" s="22" t="str">
        <f t="shared" si="16"/>
        <v/>
      </c>
      <c r="X9" s="22">
        <f t="shared" si="51"/>
        <v>0.47731349059539352</v>
      </c>
      <c r="Y9" s="22">
        <f t="shared" si="17"/>
        <v>0.47731349059539352</v>
      </c>
      <c r="Z9" s="22" t="str">
        <f t="shared" si="18"/>
        <v/>
      </c>
      <c r="AA9" s="2">
        <f t="shared" si="52"/>
        <v>605.74</v>
      </c>
      <c r="AB9" s="25">
        <f t="shared" si="19"/>
        <v>17.800999999999998</v>
      </c>
      <c r="AC9" s="25" t="str">
        <f t="shared" si="20"/>
        <v/>
      </c>
      <c r="AD9" s="51">
        <f t="shared" si="21"/>
        <v>0.77554350403810568</v>
      </c>
      <c r="AE9" s="51" t="str">
        <f t="shared" ref="AE9:AE15" si="61">IF(D9=6,(U9-MIN($U$6:$U$59))/(MAX($U$6:$U$59)-MIN($U$6:$U$59)),"")</f>
        <v/>
      </c>
      <c r="AF9" s="51">
        <f t="shared" si="22"/>
        <v>0.45268212125830742</v>
      </c>
      <c r="AG9" s="51" t="str">
        <f t="shared" si="23"/>
        <v/>
      </c>
      <c r="AH9" s="51">
        <f t="shared" si="13"/>
        <v>0.23928040010874507</v>
      </c>
      <c r="AI9" s="51" t="str">
        <f t="shared" si="14"/>
        <v/>
      </c>
      <c r="AJ9" s="55">
        <f t="shared" si="25"/>
        <v>0.50808340892735426</v>
      </c>
      <c r="AK9" s="55" t="str">
        <f t="shared" si="26"/>
        <v/>
      </c>
      <c r="AL9" s="55">
        <f t="shared" si="27"/>
        <v>1</v>
      </c>
      <c r="AM9" s="55" t="str">
        <f t="shared" si="28"/>
        <v/>
      </c>
      <c r="AN9" s="51" t="s">
        <v>196</v>
      </c>
      <c r="AO9" s="52">
        <f>AVERAGE(AD6:AD59)</f>
        <v>0.53635322982214984</v>
      </c>
      <c r="AP9" s="52">
        <f>AVERAGE(AE6:AE59)</f>
        <v>0.62048675235798401</v>
      </c>
      <c r="AQ9" s="56">
        <f>(AO9+AP9)/2</f>
        <v>0.57841999109006692</v>
      </c>
      <c r="AR9" s="24"/>
      <c r="AS9" s="42">
        <f t="shared" si="53"/>
        <v>0</v>
      </c>
      <c r="AT9" s="42">
        <f t="shared" si="54"/>
        <v>1</v>
      </c>
      <c r="AU9" s="42">
        <f t="shared" si="55"/>
        <v>0</v>
      </c>
      <c r="AV9" s="42">
        <f t="shared" si="56"/>
        <v>0</v>
      </c>
      <c r="AW9" s="24"/>
      <c r="AX9" s="24">
        <f t="shared" si="30"/>
        <v>47.5</v>
      </c>
      <c r="AY9" s="2" t="str">
        <f t="shared" si="31"/>
        <v/>
      </c>
      <c r="AZ9" s="24">
        <f t="shared" si="57"/>
        <v>37.5</v>
      </c>
      <c r="BA9" s="42">
        <v>0</v>
      </c>
      <c r="BB9" s="42">
        <v>2</v>
      </c>
      <c r="BC9" s="28">
        <f t="shared" si="32"/>
        <v>0.24380183762469029</v>
      </c>
      <c r="BD9" s="41">
        <f t="shared" si="33"/>
        <v>0.78742398613249442</v>
      </c>
      <c r="BE9" s="25">
        <f t="shared" si="58"/>
        <v>26.199999999999996</v>
      </c>
      <c r="BF9" s="25">
        <f t="shared" si="39"/>
        <v>1.0987443434924277E-12</v>
      </c>
      <c r="BG9" s="25">
        <f t="shared" si="40"/>
        <v>4.7366110080011185E-9</v>
      </c>
      <c r="BI9" s="27">
        <f t="shared" si="34"/>
        <v>0.5</v>
      </c>
      <c r="BJ9" s="27" t="str">
        <f t="shared" si="35"/>
        <v/>
      </c>
      <c r="BK9">
        <f t="shared" si="59"/>
        <v>0.44999999999999996</v>
      </c>
      <c r="BL9">
        <v>2</v>
      </c>
      <c r="BM9">
        <v>2</v>
      </c>
      <c r="BN9" s="47">
        <f t="shared" si="41"/>
        <v>0.18273936293504991</v>
      </c>
      <c r="BO9" s="41">
        <f t="shared" si="42"/>
        <v>4.6358209697306169E-11</v>
      </c>
      <c r="BP9">
        <f t="shared" si="60"/>
        <v>0.23000000000000004</v>
      </c>
      <c r="BQ9" s="25">
        <f t="shared" si="43"/>
        <v>7.3312234489892265E-21</v>
      </c>
      <c r="BR9" s="25">
        <f t="shared" si="44"/>
        <v>1.9328270881275071E-55</v>
      </c>
      <c r="BS9" s="25"/>
      <c r="BT9" s="25"/>
    </row>
    <row r="10" spans="1:84">
      <c r="A10" t="s">
        <v>60</v>
      </c>
      <c r="B10" s="7">
        <v>44950</v>
      </c>
      <c r="C10" t="s">
        <v>81</v>
      </c>
      <c r="D10">
        <v>6</v>
      </c>
      <c r="E10" t="s">
        <v>26</v>
      </c>
      <c r="F10" s="9">
        <v>0</v>
      </c>
      <c r="I10" s="61">
        <v>31.4</v>
      </c>
      <c r="J10" s="61">
        <v>18.8</v>
      </c>
      <c r="K10" s="61">
        <v>13.3</v>
      </c>
      <c r="L10" s="63">
        <f t="shared" si="45"/>
        <v>25.1</v>
      </c>
      <c r="M10" s="15">
        <f t="shared" si="36"/>
        <v>1</v>
      </c>
      <c r="N10" s="15">
        <f t="shared" si="46"/>
        <v>0.59872611464968162</v>
      </c>
      <c r="O10" s="15">
        <f t="shared" si="47"/>
        <v>0.42356687898089174</v>
      </c>
      <c r="P10" s="15">
        <f t="shared" si="48"/>
        <v>0.79936305732484081</v>
      </c>
      <c r="Q10" s="16">
        <f t="shared" si="49"/>
        <v>0.37579617834394907</v>
      </c>
      <c r="R10" s="16">
        <f t="shared" si="50"/>
        <v>0.40127388535031838</v>
      </c>
      <c r="S10" s="14" t="e">
        <f t="shared" si="38"/>
        <v>#N/A</v>
      </c>
      <c r="T10" s="14">
        <f t="shared" ref="T10:T60" si="62">IF($D10=6, R10,NA())</f>
        <v>0.40127388535031838</v>
      </c>
      <c r="U10" s="22">
        <f t="shared" si="9"/>
        <v>43.122122552714643</v>
      </c>
      <c r="V10" s="22" t="str">
        <f t="shared" si="15"/>
        <v/>
      </c>
      <c r="W10" s="22">
        <f t="shared" si="16"/>
        <v>43.122122552714643</v>
      </c>
      <c r="X10" s="22">
        <f t="shared" si="51"/>
        <v>0.54976676756790022</v>
      </c>
      <c r="Y10" s="22" t="str">
        <f t="shared" si="17"/>
        <v/>
      </c>
      <c r="Z10" s="22">
        <f t="shared" si="18"/>
        <v>0.54976676756790022</v>
      </c>
      <c r="AA10" s="2">
        <f t="shared" si="52"/>
        <v>953.86</v>
      </c>
      <c r="AB10" s="25" t="str">
        <f t="shared" si="19"/>
        <v/>
      </c>
      <c r="AC10" s="25">
        <f t="shared" si="20"/>
        <v>20.371000000000002</v>
      </c>
      <c r="AD10" s="51" t="str">
        <f t="shared" si="21"/>
        <v/>
      </c>
      <c r="AE10" s="51">
        <f t="shared" si="61"/>
        <v>0.57289349683925683</v>
      </c>
      <c r="AF10" s="51" t="str">
        <f t="shared" si="22"/>
        <v/>
      </c>
      <c r="AG10" s="51">
        <f t="shared" si="23"/>
        <v>0.67987225940951135</v>
      </c>
      <c r="AH10" s="51" t="str">
        <f t="shared" si="13"/>
        <v/>
      </c>
      <c r="AI10" s="51">
        <f t="shared" si="14"/>
        <v>5.1856009957604317E-2</v>
      </c>
      <c r="AJ10" s="55" t="str">
        <f t="shared" si="25"/>
        <v/>
      </c>
      <c r="AK10" s="55">
        <f t="shared" si="26"/>
        <v>0.57511662534913255</v>
      </c>
      <c r="AL10" s="55" t="str">
        <f t="shared" si="27"/>
        <v/>
      </c>
      <c r="AM10" s="55">
        <f t="shared" si="28"/>
        <v>1</v>
      </c>
      <c r="AN10" s="51" t="s">
        <v>197</v>
      </c>
      <c r="AO10" s="52">
        <f>AVERAGE(AF6:AF59)</f>
        <v>0.44611534147693993</v>
      </c>
      <c r="AP10" s="52">
        <f>AVERAGE(AG6:AG59)</f>
        <v>0.7004617663937085</v>
      </c>
      <c r="AQ10" s="56">
        <f>(AO10+AP10)/2</f>
        <v>0.57328855393532419</v>
      </c>
      <c r="AR10" s="24"/>
      <c r="AS10" s="42">
        <f t="shared" si="53"/>
        <v>0</v>
      </c>
      <c r="AT10" s="42">
        <f t="shared" si="54"/>
        <v>1</v>
      </c>
      <c r="AU10" s="42">
        <f t="shared" si="55"/>
        <v>0</v>
      </c>
      <c r="AV10" s="42">
        <f t="shared" si="56"/>
        <v>0</v>
      </c>
      <c r="AW10" s="24"/>
      <c r="AX10" s="24" t="str">
        <f t="shared" si="30"/>
        <v/>
      </c>
      <c r="AY10" s="2">
        <f t="shared" si="31"/>
        <v>42.5</v>
      </c>
      <c r="AZ10" s="24">
        <f t="shared" si="57"/>
        <v>40</v>
      </c>
      <c r="BA10" s="42">
        <v>2</v>
      </c>
      <c r="BB10" s="42">
        <v>3</v>
      </c>
      <c r="BC10" s="28">
        <f t="shared" si="32"/>
        <v>2.641000976957645</v>
      </c>
      <c r="BD10" s="41">
        <f t="shared" si="33"/>
        <v>4.3543586628642998</v>
      </c>
      <c r="BE10" s="25">
        <f t="shared" si="58"/>
        <v>26.599999999999994</v>
      </c>
      <c r="BF10" s="25">
        <f t="shared" si="39"/>
        <v>4.2559444150925644E-12</v>
      </c>
      <c r="BG10" s="25">
        <f t="shared" si="40"/>
        <v>1.2660560897661243E-8</v>
      </c>
      <c r="BI10" s="27" t="str">
        <f t="shared" si="34"/>
        <v/>
      </c>
      <c r="BJ10" s="27">
        <f t="shared" si="35"/>
        <v>0.55000000000000004</v>
      </c>
      <c r="BK10">
        <f t="shared" si="59"/>
        <v>0.49999999999999994</v>
      </c>
      <c r="BL10">
        <v>5</v>
      </c>
      <c r="BM10">
        <v>3</v>
      </c>
      <c r="BN10" s="47">
        <f t="shared" si="41"/>
        <v>5.1989121868261456</v>
      </c>
      <c r="BO10" s="41">
        <f t="shared" si="42"/>
        <v>1.2974785416168877E-5</v>
      </c>
      <c r="BP10">
        <f t="shared" si="60"/>
        <v>0.24000000000000005</v>
      </c>
      <c r="BQ10" s="25">
        <f t="shared" si="43"/>
        <v>1.6083949215071925E-19</v>
      </c>
      <c r="BR10" s="25">
        <f t="shared" si="44"/>
        <v>1.0596032337795239E-52</v>
      </c>
      <c r="BS10" s="25"/>
      <c r="BT10" s="25"/>
    </row>
    <row r="11" spans="1:84">
      <c r="A11" t="s">
        <v>61</v>
      </c>
      <c r="B11" s="7">
        <v>44950</v>
      </c>
      <c r="C11" t="s">
        <v>81</v>
      </c>
      <c r="D11">
        <v>6</v>
      </c>
      <c r="E11" t="s">
        <v>26</v>
      </c>
      <c r="F11" s="9">
        <v>1</v>
      </c>
      <c r="I11" s="61">
        <v>24</v>
      </c>
      <c r="J11" s="61">
        <v>12.9</v>
      </c>
      <c r="K11" s="61">
        <v>8.9</v>
      </c>
      <c r="L11" s="63">
        <f t="shared" si="45"/>
        <v>18.45</v>
      </c>
      <c r="M11" s="15">
        <f t="shared" si="36"/>
        <v>1</v>
      </c>
      <c r="N11" s="15">
        <f t="shared" si="46"/>
        <v>0.53749999999999998</v>
      </c>
      <c r="O11" s="15">
        <f t="shared" si="47"/>
        <v>0.37083333333333335</v>
      </c>
      <c r="P11" s="15">
        <f t="shared" si="48"/>
        <v>0.76874999999999993</v>
      </c>
      <c r="Q11" s="16">
        <f t="shared" si="49"/>
        <v>0.39791666666666659</v>
      </c>
      <c r="R11" s="16">
        <f t="shared" si="50"/>
        <v>0.46250000000000002</v>
      </c>
      <c r="S11" s="14" t="e">
        <f t="shared" si="38"/>
        <v>#N/A</v>
      </c>
      <c r="T11" s="14">
        <f t="shared" si="62"/>
        <v>0.46250000000000002</v>
      </c>
      <c r="U11" s="22">
        <f t="shared" si="9"/>
        <v>40.707397819110682</v>
      </c>
      <c r="V11" s="22" t="str">
        <f t="shared" si="15"/>
        <v/>
      </c>
      <c r="W11" s="22">
        <f t="shared" si="16"/>
        <v>40.707397819110682</v>
      </c>
      <c r="X11" s="22">
        <f t="shared" si="51"/>
        <v>0.61011795876790176</v>
      </c>
      <c r="Y11" s="22" t="str">
        <f t="shared" si="17"/>
        <v/>
      </c>
      <c r="Z11" s="22">
        <f t="shared" si="18"/>
        <v>0.61011795876790176</v>
      </c>
      <c r="AA11" s="2">
        <f t="shared" si="52"/>
        <v>554.20000000000005</v>
      </c>
      <c r="AB11" s="25" t="str">
        <f t="shared" si="19"/>
        <v/>
      </c>
      <c r="AC11" s="25">
        <f t="shared" si="20"/>
        <v>14.452999999999999</v>
      </c>
      <c r="AD11" s="51" t="str">
        <f t="shared" si="21"/>
        <v/>
      </c>
      <c r="AE11" s="51">
        <f t="shared" si="61"/>
        <v>0.44739630123042429</v>
      </c>
      <c r="AF11" s="51" t="str">
        <f t="shared" si="22"/>
        <v/>
      </c>
      <c r="AG11" s="51">
        <f t="shared" si="23"/>
        <v>0.86911415486609578</v>
      </c>
      <c r="AH11" s="51" t="str">
        <f t="shared" si="13"/>
        <v/>
      </c>
      <c r="AI11" s="51">
        <f t="shared" si="14"/>
        <v>0.24166905554700868</v>
      </c>
      <c r="AJ11" s="55" t="str">
        <f t="shared" si="25"/>
        <v/>
      </c>
      <c r="AK11" s="55">
        <f t="shared" si="26"/>
        <v>0.61662898841220615</v>
      </c>
      <c r="AL11" s="55" t="str">
        <f t="shared" si="27"/>
        <v/>
      </c>
      <c r="AM11" s="55">
        <f t="shared" si="28"/>
        <v>1</v>
      </c>
      <c r="AN11" s="51" t="s">
        <v>192</v>
      </c>
      <c r="AO11" s="52">
        <f>AVERAGE(AH6:AH59)</f>
        <v>0.20899374032975995</v>
      </c>
      <c r="AP11" s="52">
        <f>AVERAGE(AI6:AI59)</f>
        <v>0.2265035731157386</v>
      </c>
      <c r="AR11" s="24"/>
      <c r="AS11" s="42">
        <f t="shared" si="53"/>
        <v>0</v>
      </c>
      <c r="AT11" s="42">
        <f t="shared" si="54"/>
        <v>0</v>
      </c>
      <c r="AU11" s="42">
        <f t="shared" si="55"/>
        <v>0</v>
      </c>
      <c r="AV11" s="42">
        <f t="shared" si="56"/>
        <v>1</v>
      </c>
      <c r="AW11" s="24"/>
      <c r="AX11" s="24" t="str">
        <f t="shared" si="30"/>
        <v/>
      </c>
      <c r="AY11" s="2">
        <f t="shared" si="31"/>
        <v>40</v>
      </c>
      <c r="AZ11" s="24">
        <f t="shared" si="57"/>
        <v>42.5</v>
      </c>
      <c r="BA11" s="42">
        <v>9</v>
      </c>
      <c r="BB11" s="42">
        <v>11</v>
      </c>
      <c r="BC11" s="28">
        <f t="shared" si="32"/>
        <v>8.3542454874206076</v>
      </c>
      <c r="BD11" s="41">
        <f t="shared" si="33"/>
        <v>9.8123478028892901</v>
      </c>
      <c r="BE11" s="25">
        <f t="shared" si="58"/>
        <v>26.999999999999993</v>
      </c>
      <c r="BF11" s="25">
        <f t="shared" si="39"/>
        <v>1.5973852263705711E-11</v>
      </c>
      <c r="BG11" s="25">
        <f t="shared" si="40"/>
        <v>3.3071780927281176E-8</v>
      </c>
      <c r="BI11" s="27" t="str">
        <f t="shared" si="34"/>
        <v/>
      </c>
      <c r="BJ11" s="27">
        <f t="shared" si="35"/>
        <v>0.60000000000000009</v>
      </c>
      <c r="BK11">
        <f t="shared" si="59"/>
        <v>0.54999999999999993</v>
      </c>
      <c r="BL11">
        <v>12</v>
      </c>
      <c r="BM11">
        <v>4</v>
      </c>
      <c r="BN11" s="47">
        <f t="shared" si="41"/>
        <v>11.907648945240485</v>
      </c>
      <c r="BO11" s="41">
        <f t="shared" si="42"/>
        <v>6.9468298951806701E-2</v>
      </c>
      <c r="BP11">
        <f t="shared" si="60"/>
        <v>0.25000000000000006</v>
      </c>
      <c r="BQ11" s="25">
        <f t="shared" si="43"/>
        <v>3.190378840695822E-18</v>
      </c>
      <c r="BR11" s="25">
        <f t="shared" si="44"/>
        <v>4.9586341225606717E-50</v>
      </c>
      <c r="BS11" s="25"/>
    </row>
    <row r="12" spans="1:84">
      <c r="A12" t="s">
        <v>62</v>
      </c>
      <c r="B12" s="7">
        <v>44950</v>
      </c>
      <c r="C12" t="s">
        <v>81</v>
      </c>
      <c r="D12">
        <v>6</v>
      </c>
      <c r="E12" t="s">
        <v>17</v>
      </c>
      <c r="I12" s="61">
        <v>26.5</v>
      </c>
      <c r="J12" s="61">
        <v>13.7</v>
      </c>
      <c r="K12" s="61">
        <v>8.5</v>
      </c>
      <c r="L12" s="63">
        <f t="shared" si="45"/>
        <v>20.100000000000001</v>
      </c>
      <c r="M12" s="15">
        <f t="shared" si="36"/>
        <v>1</v>
      </c>
      <c r="N12" s="15">
        <f t="shared" si="46"/>
        <v>0.51698113207547169</v>
      </c>
      <c r="O12" s="15">
        <f t="shared" si="47"/>
        <v>0.32075471698113206</v>
      </c>
      <c r="P12" s="15">
        <f t="shared" si="48"/>
        <v>0.7584905660377359</v>
      </c>
      <c r="Q12" s="16">
        <f t="shared" si="49"/>
        <v>0.43773584905660384</v>
      </c>
      <c r="R12" s="16">
        <f t="shared" si="50"/>
        <v>0.48301886792452831</v>
      </c>
      <c r="S12" s="14" t="e">
        <f t="shared" si="38"/>
        <v>#N/A</v>
      </c>
      <c r="T12" s="14">
        <f t="shared" si="62"/>
        <v>0.48301886792452831</v>
      </c>
      <c r="U12" s="22">
        <f t="shared" si="9"/>
        <v>42.184443315788769</v>
      </c>
      <c r="V12" s="22" t="str">
        <f t="shared" si="15"/>
        <v/>
      </c>
      <c r="W12" s="22">
        <f t="shared" si="16"/>
        <v>42.184443315788769</v>
      </c>
      <c r="X12" s="22">
        <f t="shared" si="51"/>
        <v>0.65185880397552254</v>
      </c>
      <c r="Y12" s="22" t="str">
        <f t="shared" si="17"/>
        <v/>
      </c>
      <c r="Z12" s="22">
        <f t="shared" si="18"/>
        <v>0.65185880397552254</v>
      </c>
      <c r="AA12" s="2">
        <f t="shared" si="52"/>
        <v>680.05</v>
      </c>
      <c r="AB12" s="25" t="str">
        <f t="shared" si="19"/>
        <v/>
      </c>
      <c r="AC12" s="25">
        <f t="shared" si="20"/>
        <v>15.484999999999999</v>
      </c>
      <c r="AD12" s="51" t="str">
        <f t="shared" si="21"/>
        <v/>
      </c>
      <c r="AE12" s="51">
        <f t="shared" si="61"/>
        <v>0.52416077257581817</v>
      </c>
      <c r="AF12" s="51" t="str">
        <f t="shared" si="22"/>
        <v/>
      </c>
      <c r="AG12" s="51">
        <f t="shared" si="23"/>
        <v>1</v>
      </c>
      <c r="AH12" s="51" t="str">
        <f t="shared" si="13"/>
        <v/>
      </c>
      <c r="AI12" s="51">
        <f t="shared" si="14"/>
        <v>0.3146455907413474</v>
      </c>
      <c r="AJ12" s="55" t="str">
        <f t="shared" si="25"/>
        <v/>
      </c>
      <c r="AK12" s="55">
        <f t="shared" si="26"/>
        <v>0.5912365914795481</v>
      </c>
      <c r="AL12" s="55" t="str">
        <f t="shared" si="27"/>
        <v/>
      </c>
      <c r="AM12" s="55">
        <f t="shared" si="28"/>
        <v>1</v>
      </c>
      <c r="AN12" s="24"/>
      <c r="AO12" s="24"/>
      <c r="AP12" s="24"/>
      <c r="AQ12" s="24"/>
      <c r="AR12" s="24"/>
      <c r="AS12" s="42">
        <f t="shared" si="53"/>
        <v>0</v>
      </c>
      <c r="AT12" s="42">
        <f t="shared" si="54"/>
        <v>0</v>
      </c>
      <c r="AU12" s="42">
        <f t="shared" si="55"/>
        <v>0</v>
      </c>
      <c r="AV12" s="42">
        <f t="shared" si="56"/>
        <v>1</v>
      </c>
      <c r="AW12" s="24"/>
      <c r="AX12" s="24" t="str">
        <f t="shared" si="30"/>
        <v/>
      </c>
      <c r="AY12" s="2">
        <f t="shared" si="31"/>
        <v>42.5</v>
      </c>
      <c r="AZ12" s="24">
        <f t="shared" si="57"/>
        <v>45</v>
      </c>
      <c r="BA12" s="42">
        <v>7</v>
      </c>
      <c r="BB12" s="42">
        <v>8</v>
      </c>
      <c r="BC12" s="28">
        <f t="shared" si="32"/>
        <v>7.7170797328935032</v>
      </c>
      <c r="BD12" s="41">
        <f t="shared" si="33"/>
        <v>9.0106235364658591</v>
      </c>
      <c r="BE12" s="25">
        <f t="shared" si="58"/>
        <v>27.399999999999991</v>
      </c>
      <c r="BF12" s="25">
        <f t="shared" si="39"/>
        <v>5.8094872259892553E-11</v>
      </c>
      <c r="BG12" s="25">
        <f t="shared" si="40"/>
        <v>8.4427052529188673E-8</v>
      </c>
      <c r="BI12" s="27" t="str">
        <f t="shared" si="34"/>
        <v/>
      </c>
      <c r="BJ12" s="27">
        <f t="shared" si="35"/>
        <v>0.65</v>
      </c>
      <c r="BK12">
        <f t="shared" si="59"/>
        <v>0.6</v>
      </c>
      <c r="BL12">
        <v>2</v>
      </c>
      <c r="BM12">
        <v>7</v>
      </c>
      <c r="BN12" s="47">
        <f t="shared" si="41"/>
        <v>2.1956986165658292</v>
      </c>
      <c r="BO12" s="41">
        <f t="shared" si="42"/>
        <v>7.1151833756929586</v>
      </c>
      <c r="BP12">
        <f t="shared" si="60"/>
        <v>0.26000000000000006</v>
      </c>
      <c r="BQ12" s="25">
        <f t="shared" si="43"/>
        <v>5.7217008288081762E-17</v>
      </c>
      <c r="BR12" s="25">
        <f t="shared" si="44"/>
        <v>1.980839886043324E-47</v>
      </c>
      <c r="BS12" s="25"/>
    </row>
    <row r="13" spans="1:84">
      <c r="A13" t="s">
        <v>63</v>
      </c>
      <c r="B13" s="7">
        <v>44950</v>
      </c>
      <c r="C13" t="s">
        <v>81</v>
      </c>
      <c r="D13">
        <v>6</v>
      </c>
      <c r="E13" t="s">
        <v>26</v>
      </c>
      <c r="F13" s="9">
        <v>0</v>
      </c>
      <c r="I13" s="61">
        <v>27.6</v>
      </c>
      <c r="J13" s="61">
        <v>14.8</v>
      </c>
      <c r="K13" s="61">
        <v>10.3</v>
      </c>
      <c r="L13" s="63">
        <f t="shared" si="45"/>
        <v>21.200000000000003</v>
      </c>
      <c r="M13" s="15">
        <f t="shared" si="36"/>
        <v>1</v>
      </c>
      <c r="N13" s="15">
        <f t="shared" si="46"/>
        <v>0.53623188405797106</v>
      </c>
      <c r="O13" s="15">
        <f t="shared" si="47"/>
        <v>0.37318840579710144</v>
      </c>
      <c r="P13" s="15">
        <f t="shared" si="48"/>
        <v>0.76811594202898559</v>
      </c>
      <c r="Q13" s="16">
        <f t="shared" si="49"/>
        <v>0.39492753623188415</v>
      </c>
      <c r="R13" s="16">
        <f t="shared" si="50"/>
        <v>0.46376811594202894</v>
      </c>
      <c r="S13" s="14" t="e">
        <f t="shared" si="38"/>
        <v>#N/A</v>
      </c>
      <c r="T13" s="14">
        <f t="shared" si="62"/>
        <v>0.46376811594202894</v>
      </c>
      <c r="U13" s="22">
        <f t="shared" si="9"/>
        <v>40.416470190882983</v>
      </c>
      <c r="V13" s="22" t="str">
        <f t="shared" si="15"/>
        <v/>
      </c>
      <c r="W13" s="22">
        <f t="shared" si="16"/>
        <v>40.416470190882983</v>
      </c>
      <c r="X13" s="22">
        <f t="shared" si="51"/>
        <v>0.60913760698105424</v>
      </c>
      <c r="Y13" s="22" t="str">
        <f t="shared" si="17"/>
        <v/>
      </c>
      <c r="Z13" s="22">
        <f t="shared" si="18"/>
        <v>0.60913760698105424</v>
      </c>
      <c r="AA13" s="2">
        <f t="shared" si="52"/>
        <v>736.6600000000002</v>
      </c>
      <c r="AB13" s="25" t="str">
        <f t="shared" si="19"/>
        <v/>
      </c>
      <c r="AC13" s="25">
        <f t="shared" si="20"/>
        <v>16.600999999999999</v>
      </c>
      <c r="AD13" s="51" t="str">
        <f t="shared" si="21"/>
        <v/>
      </c>
      <c r="AE13" s="51">
        <f t="shared" si="61"/>
        <v>0.43227631634783548</v>
      </c>
      <c r="AF13" s="51" t="str">
        <f t="shared" si="22"/>
        <v/>
      </c>
      <c r="AG13" s="51">
        <f t="shared" si="23"/>
        <v>0.86604008745055039</v>
      </c>
      <c r="AH13" s="51" t="str">
        <f t="shared" si="13"/>
        <v/>
      </c>
      <c r="AI13" s="51">
        <f t="shared" si="14"/>
        <v>0.25067777848691103</v>
      </c>
      <c r="AJ13" s="55" t="str">
        <f t="shared" si="25"/>
        <v/>
      </c>
      <c r="AK13" s="55">
        <f t="shared" si="26"/>
        <v>0.62163042528821899</v>
      </c>
      <c r="AL13" s="55" t="str">
        <f t="shared" si="27"/>
        <v/>
      </c>
      <c r="AM13" s="55">
        <f t="shared" si="28"/>
        <v>1</v>
      </c>
      <c r="AN13" s="24"/>
      <c r="AO13" s="55" t="s">
        <v>208</v>
      </c>
      <c r="AP13" s="55">
        <f>-(AO9-AP9)/(AO10-AP10)</f>
        <v>-0.33078319289671843</v>
      </c>
      <c r="AQ13" s="24"/>
      <c r="AR13" s="24"/>
      <c r="AS13" s="42">
        <f t="shared" si="53"/>
        <v>0</v>
      </c>
      <c r="AT13" s="42">
        <f t="shared" si="54"/>
        <v>0</v>
      </c>
      <c r="AU13" s="42">
        <f t="shared" si="55"/>
        <v>1</v>
      </c>
      <c r="AV13" s="42">
        <f t="shared" si="56"/>
        <v>0</v>
      </c>
      <c r="AW13" s="24"/>
      <c r="AX13" s="24" t="str">
        <f t="shared" si="30"/>
        <v/>
      </c>
      <c r="AY13" s="2">
        <f t="shared" si="31"/>
        <v>40</v>
      </c>
      <c r="AZ13" s="24">
        <f t="shared" si="57"/>
        <v>47.5</v>
      </c>
      <c r="BA13" s="42">
        <v>3</v>
      </c>
      <c r="BB13" s="42">
        <v>4</v>
      </c>
      <c r="BC13" s="28">
        <f t="shared" si="32"/>
        <v>2.0816409647981109</v>
      </c>
      <c r="BD13" s="41">
        <f t="shared" si="33"/>
        <v>3.3718630991888938</v>
      </c>
      <c r="BE13" s="25">
        <f t="shared" si="58"/>
        <v>27.79999999999999</v>
      </c>
      <c r="BF13" s="25">
        <f t="shared" si="39"/>
        <v>2.0472946902634125E-10</v>
      </c>
      <c r="BG13" s="25">
        <f t="shared" si="40"/>
        <v>2.1063235440668878E-7</v>
      </c>
      <c r="BI13" s="27" t="str">
        <f t="shared" si="34"/>
        <v/>
      </c>
      <c r="BJ13" s="27">
        <f t="shared" si="35"/>
        <v>0.60000000000000009</v>
      </c>
      <c r="BK13">
        <f t="shared" si="59"/>
        <v>0.65</v>
      </c>
      <c r="BL13">
        <v>1</v>
      </c>
      <c r="BM13">
        <v>14</v>
      </c>
      <c r="BN13" s="47">
        <f t="shared" si="41"/>
        <v>3.2595121114678459E-2</v>
      </c>
      <c r="BO13" s="41">
        <f t="shared" si="42"/>
        <v>13.941146226150094</v>
      </c>
      <c r="BP13">
        <f t="shared" si="60"/>
        <v>0.27000000000000007</v>
      </c>
      <c r="BQ13" s="25">
        <f t="shared" si="43"/>
        <v>9.2777221571140333E-16</v>
      </c>
      <c r="BR13" s="25">
        <f t="shared" si="44"/>
        <v>6.7546865137361711E-45</v>
      </c>
      <c r="BS13" s="25"/>
      <c r="BY13" s="2"/>
    </row>
    <row r="14" spans="1:84">
      <c r="A14" t="s">
        <v>64</v>
      </c>
      <c r="B14" s="7">
        <v>44950</v>
      </c>
      <c r="C14" t="s">
        <v>81</v>
      </c>
      <c r="D14">
        <v>5</v>
      </c>
      <c r="E14" t="s">
        <v>17</v>
      </c>
      <c r="G14">
        <v>8</v>
      </c>
      <c r="H14">
        <v>8</v>
      </c>
      <c r="I14" s="61">
        <v>26</v>
      </c>
      <c r="J14" s="61">
        <v>16.399999999999999</v>
      </c>
      <c r="K14" s="61">
        <v>12.2</v>
      </c>
      <c r="L14" s="63">
        <f t="shared" si="45"/>
        <v>21.2</v>
      </c>
      <c r="M14" s="15">
        <f t="shared" si="36"/>
        <v>1</v>
      </c>
      <c r="N14" s="15">
        <f t="shared" si="46"/>
        <v>0.63076923076923075</v>
      </c>
      <c r="O14" s="15">
        <f t="shared" si="47"/>
        <v>0.46923076923076923</v>
      </c>
      <c r="P14" s="15">
        <f t="shared" si="48"/>
        <v>0.81538461538461537</v>
      </c>
      <c r="Q14" s="16">
        <f t="shared" si="49"/>
        <v>0.34615384615384615</v>
      </c>
      <c r="R14" s="16">
        <f t="shared" si="50"/>
        <v>0.36923076923076925</v>
      </c>
      <c r="S14" s="14">
        <f t="shared" si="38"/>
        <v>0.36923076923076925</v>
      </c>
      <c r="T14" s="14" t="e">
        <f t="shared" si="62"/>
        <v>#N/A</v>
      </c>
      <c r="U14" s="22">
        <f t="shared" si="9"/>
        <v>43.152389734005411</v>
      </c>
      <c r="V14" s="22">
        <f t="shared" si="15"/>
        <v>43.152389734005411</v>
      </c>
      <c r="W14" s="22" t="str">
        <f t="shared" si="16"/>
        <v/>
      </c>
      <c r="X14" s="22">
        <f t="shared" si="51"/>
        <v>0.50611643537218409</v>
      </c>
      <c r="Y14" s="22">
        <f t="shared" si="17"/>
        <v>0.50611643537218409</v>
      </c>
      <c r="Z14" s="22" t="str">
        <f t="shared" si="18"/>
        <v/>
      </c>
      <c r="AA14" s="2">
        <f t="shared" si="52"/>
        <v>647.4</v>
      </c>
      <c r="AB14" s="25">
        <f t="shared" ref="AB14:AB60" si="63">IF(D14=5,0.2*I14+0.7*J14+0.07*K14,"")</f>
        <v>17.533999999999999</v>
      </c>
      <c r="AC14" s="25" t="str">
        <f t="shared" ref="AC14:AC60" si="64">IF(D14=6,0.2*I14+0.7*J14+0.07*K14,"")</f>
        <v/>
      </c>
      <c r="AD14" s="51">
        <f t="shared" si="21"/>
        <v>0.57446653177699325</v>
      </c>
      <c r="AE14" s="51" t="str">
        <f t="shared" si="61"/>
        <v/>
      </c>
      <c r="AF14" s="51">
        <f t="shared" si="22"/>
        <v>0.54299887815922243</v>
      </c>
      <c r="AG14" s="51" t="str">
        <f t="shared" si="23"/>
        <v/>
      </c>
      <c r="AH14" s="51">
        <f t="shared" si="13"/>
        <v>0.10411072694957157</v>
      </c>
      <c r="AI14" s="51" t="str">
        <f t="shared" si="14"/>
        <v/>
      </c>
      <c r="AJ14" s="55">
        <f t="shared" si="25"/>
        <v>0.57459629182988992</v>
      </c>
      <c r="AK14" s="55" t="str">
        <f t="shared" si="26"/>
        <v/>
      </c>
      <c r="AL14" s="55">
        <f t="shared" si="27"/>
        <v>1</v>
      </c>
      <c r="AM14" s="55" t="str">
        <f t="shared" si="28"/>
        <v/>
      </c>
      <c r="AN14" s="24"/>
      <c r="AO14" s="58" t="s">
        <v>87</v>
      </c>
      <c r="AP14" s="58">
        <f>AQ10-AP13*AQ9</f>
        <v>0.76462016542338795</v>
      </c>
      <c r="AQ14" s="24"/>
      <c r="AR14" s="24"/>
      <c r="AS14" s="42">
        <f t="shared" si="53"/>
        <v>0</v>
      </c>
      <c r="AT14" s="42">
        <f t="shared" si="54"/>
        <v>0</v>
      </c>
      <c r="AU14" s="42">
        <f t="shared" si="55"/>
        <v>0</v>
      </c>
      <c r="AV14" s="42">
        <f t="shared" si="56"/>
        <v>1</v>
      </c>
      <c r="AW14" s="24"/>
      <c r="AX14" s="24">
        <f t="shared" si="30"/>
        <v>42.5</v>
      </c>
      <c r="AY14" s="2" t="str">
        <f t="shared" si="31"/>
        <v/>
      </c>
      <c r="AZ14" s="24">
        <f t="shared" si="57"/>
        <v>50</v>
      </c>
      <c r="BA14" s="42">
        <v>0</v>
      </c>
      <c r="BB14" s="42">
        <v>1</v>
      </c>
      <c r="BC14" s="28">
        <f t="shared" si="32"/>
        <v>0.16397051020293879</v>
      </c>
      <c r="BD14" s="41">
        <f t="shared" si="33"/>
        <v>0.51418357372897117</v>
      </c>
      <c r="BE14" s="25">
        <f t="shared" si="58"/>
        <v>28.199999999999989</v>
      </c>
      <c r="BF14" s="25">
        <f t="shared" si="39"/>
        <v>6.9909684211785191E-10</v>
      </c>
      <c r="BG14" s="25">
        <f t="shared" si="40"/>
        <v>5.1355616384513512E-7</v>
      </c>
      <c r="BI14" s="27">
        <f t="shared" si="34"/>
        <v>0.5</v>
      </c>
      <c r="BJ14" s="27" t="str">
        <f t="shared" si="35"/>
        <v/>
      </c>
      <c r="BK14">
        <f t="shared" si="59"/>
        <v>0.70000000000000007</v>
      </c>
      <c r="BL14">
        <v>0</v>
      </c>
      <c r="BM14">
        <v>0</v>
      </c>
      <c r="BN14" s="47">
        <f t="shared" si="41"/>
        <v>3.8955217643390217E-5</v>
      </c>
      <c r="BO14" s="41">
        <f t="shared" si="42"/>
        <v>0.52254514827573917</v>
      </c>
      <c r="BP14">
        <f t="shared" si="60"/>
        <v>0.28000000000000008</v>
      </c>
      <c r="BQ14" s="25">
        <f t="shared" si="43"/>
        <v>1.3601628392380305E-14</v>
      </c>
      <c r="BR14" s="25">
        <f t="shared" si="44"/>
        <v>1.9662083767323575E-42</v>
      </c>
      <c r="BS14" s="25"/>
      <c r="BX14" s="2"/>
    </row>
    <row r="15" spans="1:84">
      <c r="A15" t="s">
        <v>65</v>
      </c>
      <c r="B15" s="7">
        <v>44950</v>
      </c>
      <c r="C15" t="s">
        <v>81</v>
      </c>
      <c r="D15">
        <v>6</v>
      </c>
      <c r="E15" t="s">
        <v>26</v>
      </c>
      <c r="F15" s="9">
        <v>0</v>
      </c>
      <c r="I15" s="61">
        <v>37.6</v>
      </c>
      <c r="J15" s="61">
        <v>23.9</v>
      </c>
      <c r="K15" s="61">
        <v>17.2</v>
      </c>
      <c r="L15" s="63">
        <f t="shared" si="45"/>
        <v>30.75</v>
      </c>
      <c r="M15" s="15">
        <f t="shared" si="36"/>
        <v>1</v>
      </c>
      <c r="N15" s="15">
        <f t="shared" si="46"/>
        <v>0.63563829787234039</v>
      </c>
      <c r="O15" s="15">
        <f t="shared" si="47"/>
        <v>0.45744680851063824</v>
      </c>
      <c r="P15" s="15">
        <f t="shared" si="48"/>
        <v>0.81781914893617014</v>
      </c>
      <c r="Q15" s="16">
        <f t="shared" si="49"/>
        <v>0.3603723404255319</v>
      </c>
      <c r="R15" s="16">
        <f t="shared" si="50"/>
        <v>0.36436170212765961</v>
      </c>
      <c r="S15" s="14" t="e">
        <f t="shared" si="38"/>
        <v>#N/A</v>
      </c>
      <c r="T15" s="14">
        <f t="shared" si="62"/>
        <v>0.36436170212765961</v>
      </c>
      <c r="U15" s="22">
        <f t="shared" si="9"/>
        <v>44.684613573428976</v>
      </c>
      <c r="V15" s="22" t="str">
        <f t="shared" si="15"/>
        <v/>
      </c>
      <c r="W15" s="22">
        <f t="shared" si="16"/>
        <v>44.684613573428976</v>
      </c>
      <c r="X15" s="22">
        <f t="shared" si="51"/>
        <v>0.51247211994521302</v>
      </c>
      <c r="Y15" s="22" t="str">
        <f t="shared" si="17"/>
        <v/>
      </c>
      <c r="Z15" s="22">
        <f t="shared" si="18"/>
        <v>0.51247211994521302</v>
      </c>
      <c r="AA15" s="2">
        <f t="shared" si="52"/>
        <v>1372.66</v>
      </c>
      <c r="AB15" s="25" t="str">
        <f t="shared" si="63"/>
        <v/>
      </c>
      <c r="AC15" s="25">
        <f t="shared" si="64"/>
        <v>25.453999999999997</v>
      </c>
      <c r="AD15" s="51" t="str">
        <f t="shared" si="21"/>
        <v/>
      </c>
      <c r="AE15" s="51">
        <f t="shared" si="61"/>
        <v>0.65409871188294855</v>
      </c>
      <c r="AF15" s="51" t="str">
        <f t="shared" si="22"/>
        <v/>
      </c>
      <c r="AG15" s="51">
        <f t="shared" si="23"/>
        <v>0.56292825770598665</v>
      </c>
      <c r="AH15" s="51" t="str">
        <f t="shared" si="13"/>
        <v/>
      </c>
      <c r="AI15" s="51">
        <f t="shared" si="14"/>
        <v>0.14158117754512256</v>
      </c>
      <c r="AJ15" s="55" t="str">
        <f t="shared" si="25"/>
        <v/>
      </c>
      <c r="AK15" s="55">
        <f t="shared" si="26"/>
        <v>0.5482553050371155</v>
      </c>
      <c r="AL15" s="55" t="str">
        <f t="shared" si="27"/>
        <v/>
      </c>
      <c r="AM15" s="55">
        <f t="shared" si="28"/>
        <v>1</v>
      </c>
      <c r="AN15" s="24"/>
      <c r="AO15" s="56" t="s">
        <v>211</v>
      </c>
      <c r="AP15" s="55">
        <f>COUNT(AL:AL)</f>
        <v>25</v>
      </c>
      <c r="AQ15" s="55" t="s">
        <v>213</v>
      </c>
      <c r="AR15" s="55">
        <f>COUNT(V6:V59)</f>
        <v>24</v>
      </c>
      <c r="AS15" s="42">
        <f t="shared" si="53"/>
        <v>1</v>
      </c>
      <c r="AT15" s="42">
        <f t="shared" si="54"/>
        <v>0</v>
      </c>
      <c r="AU15" s="42">
        <f t="shared" si="55"/>
        <v>0</v>
      </c>
      <c r="AV15" s="42">
        <f t="shared" si="56"/>
        <v>0</v>
      </c>
      <c r="AW15" s="24"/>
      <c r="AX15" s="24" t="str">
        <f t="shared" si="30"/>
        <v/>
      </c>
      <c r="AY15" s="2">
        <f t="shared" si="31"/>
        <v>45</v>
      </c>
      <c r="AZ15" s="24">
        <f t="shared" si="57"/>
        <v>52.5</v>
      </c>
      <c r="BA15" s="42">
        <v>0</v>
      </c>
      <c r="BB15" s="42">
        <v>1</v>
      </c>
      <c r="BC15" s="28">
        <f t="shared" si="32"/>
        <v>3.7716618933721306E-3</v>
      </c>
      <c r="BD15" s="41">
        <f t="shared" si="33"/>
        <v>3.195211715315166E-2</v>
      </c>
      <c r="BE15" s="25">
        <f t="shared" si="58"/>
        <v>28.599999999999987</v>
      </c>
      <c r="BF15" s="25">
        <f t="shared" si="39"/>
        <v>2.3131763427106215E-9</v>
      </c>
      <c r="BG15" s="25">
        <f t="shared" si="40"/>
        <v>1.2236866422347493E-6</v>
      </c>
      <c r="BI15" s="27" t="str">
        <f t="shared" si="34"/>
        <v/>
      </c>
      <c r="BJ15" s="27">
        <f t="shared" si="35"/>
        <v>0.5</v>
      </c>
      <c r="BK15">
        <f t="shared" si="59"/>
        <v>0.75000000000000011</v>
      </c>
      <c r="BL15">
        <v>0</v>
      </c>
      <c r="BM15">
        <v>0</v>
      </c>
      <c r="BN15" s="47">
        <f t="shared" si="41"/>
        <v>3.7481057548770375E-9</v>
      </c>
      <c r="BO15" s="41">
        <f t="shared" si="42"/>
        <v>3.7468137842537239E-4</v>
      </c>
      <c r="BP15">
        <f t="shared" si="60"/>
        <v>0.29000000000000009</v>
      </c>
      <c r="BQ15" s="25">
        <f t="shared" si="43"/>
        <v>1.8029088682487829E-13</v>
      </c>
      <c r="BR15" s="25">
        <f t="shared" si="44"/>
        <v>4.8856505892560393E-40</v>
      </c>
      <c r="BS15" s="25"/>
      <c r="BT15" s="25"/>
      <c r="BX15" s="2"/>
      <c r="BY15" s="2"/>
    </row>
    <row r="16" spans="1:84">
      <c r="A16" t="s">
        <v>66</v>
      </c>
      <c r="B16" s="7">
        <v>44950</v>
      </c>
      <c r="C16" t="s">
        <v>81</v>
      </c>
      <c r="D16">
        <v>6</v>
      </c>
      <c r="E16" t="s">
        <v>26</v>
      </c>
      <c r="F16" s="9">
        <v>0</v>
      </c>
      <c r="I16" s="61">
        <v>22.3</v>
      </c>
      <c r="J16" s="61">
        <v>15.2</v>
      </c>
      <c r="K16" s="61">
        <v>11.5</v>
      </c>
      <c r="L16" s="63">
        <f t="shared" si="45"/>
        <v>18.75</v>
      </c>
      <c r="M16" s="15">
        <f t="shared" si="36"/>
        <v>1</v>
      </c>
      <c r="N16" s="15">
        <f t="shared" si="46"/>
        <v>0.68161434977578472</v>
      </c>
      <c r="O16" s="15">
        <f t="shared" si="47"/>
        <v>0.51569506726457393</v>
      </c>
      <c r="P16" s="15">
        <f t="shared" si="48"/>
        <v>0.84080717488789236</v>
      </c>
      <c r="Q16" s="16">
        <f t="shared" si="49"/>
        <v>0.32511210762331844</v>
      </c>
      <c r="R16" s="16">
        <f t="shared" si="50"/>
        <v>0.31838565022421528</v>
      </c>
      <c r="S16" s="14" t="e">
        <f t="shared" si="38"/>
        <v>#N/A</v>
      </c>
      <c r="T16" s="14">
        <f t="shared" si="62"/>
        <v>0.31838565022421528</v>
      </c>
      <c r="U16" s="22">
        <f t="shared" si="9"/>
        <v>45.59888877547116</v>
      </c>
      <c r="V16" s="22" t="str">
        <f t="shared" si="15"/>
        <v/>
      </c>
      <c r="W16" s="22">
        <f t="shared" si="16"/>
        <v>45.59888877547116</v>
      </c>
      <c r="X16" s="22">
        <f t="shared" si="51"/>
        <v>0.45504648640767742</v>
      </c>
      <c r="Y16" s="22" t="str">
        <f t="shared" si="17"/>
        <v/>
      </c>
      <c r="Z16" s="22">
        <f t="shared" si="18"/>
        <v>0.45504648640767742</v>
      </c>
      <c r="AA16" s="2">
        <f t="shared" si="52"/>
        <v>470.59000000000003</v>
      </c>
      <c r="AB16" s="25" t="str">
        <f t="shared" si="63"/>
        <v/>
      </c>
      <c r="AC16" s="25">
        <f t="shared" si="64"/>
        <v>15.904999999999998</v>
      </c>
      <c r="AD16" s="51" t="str">
        <f t="shared" si="21"/>
        <v/>
      </c>
      <c r="AE16" s="51">
        <f>IF(D16=6,(U16-MIN($U$6:$U$59))/(MAX($U$6:$U$59)-MIN($U$6:$U$59)),"")</f>
        <v>0.70161509015756274</v>
      </c>
      <c r="AF16" s="51" t="str">
        <f t="shared" si="22"/>
        <v/>
      </c>
      <c r="AG16" s="51">
        <f t="shared" si="23"/>
        <v>0.38285996870694256</v>
      </c>
      <c r="AH16" s="51" t="str">
        <f t="shared" si="13"/>
        <v/>
      </c>
      <c r="AI16" s="51">
        <f t="shared" si="14"/>
        <v>0.32779980031718742</v>
      </c>
      <c r="AJ16" s="55" t="str">
        <f t="shared" si="25"/>
        <v/>
      </c>
      <c r="AK16" s="55">
        <f t="shared" si="26"/>
        <v>0.53253768571655036</v>
      </c>
      <c r="AL16" s="55" t="str">
        <f t="shared" si="27"/>
        <v/>
      </c>
      <c r="AM16" s="55" t="str">
        <f t="shared" si="28"/>
        <v/>
      </c>
      <c r="AN16" s="24"/>
      <c r="AO16" s="55" t="s">
        <v>212</v>
      </c>
      <c r="AP16" s="55">
        <f>COUNT(AM:AM)</f>
        <v>32</v>
      </c>
      <c r="AQ16" s="55" t="s">
        <v>214</v>
      </c>
      <c r="AR16" s="55">
        <f>COUNT(W6:W59)</f>
        <v>30</v>
      </c>
      <c r="AS16" s="42">
        <f t="shared" si="53"/>
        <v>0</v>
      </c>
      <c r="AT16" s="42">
        <f t="shared" si="54"/>
        <v>0</v>
      </c>
      <c r="AU16" s="42">
        <f t="shared" si="55"/>
        <v>0</v>
      </c>
      <c r="AV16" s="42">
        <f t="shared" si="56"/>
        <v>1</v>
      </c>
      <c r="AW16" s="24"/>
      <c r="AX16" s="24" t="str">
        <f t="shared" si="30"/>
        <v/>
      </c>
      <c r="AY16" s="2">
        <f t="shared" si="31"/>
        <v>45</v>
      </c>
      <c r="AZ16" s="24">
        <f t="shared" si="57"/>
        <v>55</v>
      </c>
      <c r="BA16" s="42">
        <v>0</v>
      </c>
      <c r="BB16" s="42">
        <v>0</v>
      </c>
      <c r="BC16" s="28">
        <f t="shared" si="32"/>
        <v>2.5334179518712472E-5</v>
      </c>
      <c r="BD16" s="41">
        <f t="shared" si="33"/>
        <v>8.0912246230679138E-4</v>
      </c>
      <c r="BE16" s="25">
        <f t="shared" si="58"/>
        <v>28.999999999999986</v>
      </c>
      <c r="BF16" s="25">
        <f t="shared" si="39"/>
        <v>7.4164242459686166E-9</v>
      </c>
      <c r="BG16" s="25">
        <f t="shared" si="40"/>
        <v>2.849521261744306E-6</v>
      </c>
      <c r="BI16" s="27" t="str">
        <f t="shared" si="34"/>
        <v/>
      </c>
      <c r="BJ16" s="27">
        <f t="shared" si="35"/>
        <v>0.45</v>
      </c>
      <c r="BK16">
        <f t="shared" si="59"/>
        <v>0.80000000000000016</v>
      </c>
      <c r="BL16">
        <v>0</v>
      </c>
      <c r="BM16">
        <v>0</v>
      </c>
      <c r="BN16" s="47">
        <f t="shared" si="41"/>
        <v>2.9032952431473223E-14</v>
      </c>
      <c r="BO16" s="41">
        <f t="shared" si="42"/>
        <v>5.1394110161320138E-9</v>
      </c>
      <c r="BP16">
        <f t="shared" si="60"/>
        <v>0.3000000000000001</v>
      </c>
      <c r="BQ16" s="25">
        <f t="shared" si="43"/>
        <v>2.1606776078242298E-12</v>
      </c>
      <c r="BR16" s="25">
        <f t="shared" si="44"/>
        <v>1.0362959098423605E-37</v>
      </c>
      <c r="BS16" s="25"/>
      <c r="BT16" s="25"/>
    </row>
    <row r="17" spans="1:79">
      <c r="A17" t="s">
        <v>67</v>
      </c>
      <c r="B17" s="7">
        <v>44950</v>
      </c>
      <c r="C17" t="s">
        <v>81</v>
      </c>
      <c r="D17">
        <v>6</v>
      </c>
      <c r="E17" t="s">
        <v>26</v>
      </c>
      <c r="F17" s="9">
        <v>0</v>
      </c>
      <c r="I17" s="61">
        <v>29.2</v>
      </c>
      <c r="J17" s="61">
        <v>17.3</v>
      </c>
      <c r="K17" s="61">
        <v>11.9</v>
      </c>
      <c r="L17" s="63">
        <f t="shared" si="45"/>
        <v>23.25</v>
      </c>
      <c r="M17" s="15">
        <f t="shared" si="36"/>
        <v>1</v>
      </c>
      <c r="N17" s="15">
        <f t="shared" si="46"/>
        <v>0.59246575342465757</v>
      </c>
      <c r="O17" s="15">
        <f t="shared" si="47"/>
        <v>0.40753424657534248</v>
      </c>
      <c r="P17" s="15">
        <f t="shared" si="48"/>
        <v>0.79623287671232879</v>
      </c>
      <c r="Q17" s="16">
        <f t="shared" si="49"/>
        <v>0.3886986301369863</v>
      </c>
      <c r="R17" s="16">
        <f t="shared" si="50"/>
        <v>0.40753424657534243</v>
      </c>
      <c r="S17" s="14" t="e">
        <f t="shared" si="38"/>
        <v>#N/A</v>
      </c>
      <c r="T17" s="14">
        <f t="shared" si="62"/>
        <v>0.40753424657534243</v>
      </c>
      <c r="U17" s="22">
        <f t="shared" si="9"/>
        <v>43.644868708977853</v>
      </c>
      <c r="V17" s="22" t="str">
        <f t="shared" si="15"/>
        <v/>
      </c>
      <c r="W17" s="22">
        <f t="shared" si="16"/>
        <v>43.644868708977853</v>
      </c>
      <c r="X17" s="22">
        <f t="shared" si="51"/>
        <v>0.5631791785942567</v>
      </c>
      <c r="Y17" s="22" t="str">
        <f t="shared" si="17"/>
        <v/>
      </c>
      <c r="Z17" s="22">
        <f t="shared" si="18"/>
        <v>0.5631791785942567</v>
      </c>
      <c r="AA17" s="2">
        <f t="shared" si="52"/>
        <v>823.44</v>
      </c>
      <c r="AB17" s="25" t="str">
        <f t="shared" si="63"/>
        <v/>
      </c>
      <c r="AC17" s="25">
        <f t="shared" si="64"/>
        <v>18.782999999999998</v>
      </c>
      <c r="AD17" s="51" t="str">
        <f t="shared" si="21"/>
        <v/>
      </c>
      <c r="AE17" s="51">
        <f t="shared" ref="AE17:AE60" si="65">IF(D17=6,(U17-MIN($U$6:$U$59))/(MAX($U$6:$U$59)-MIN($U$6:$U$59)),"")</f>
        <v>0.60006146994748644</v>
      </c>
      <c r="AF17" s="51" t="str">
        <f t="shared" si="22"/>
        <v/>
      </c>
      <c r="AG17" s="51">
        <f t="shared" si="23"/>
        <v>0.7219292600221261</v>
      </c>
      <c r="AH17" s="51" t="str">
        <f t="shared" si="13"/>
        <v/>
      </c>
      <c r="AI17" s="51">
        <f t="shared" si="14"/>
        <v>2.9631831604454217E-2</v>
      </c>
      <c r="AJ17" s="55" t="str">
        <f t="shared" si="25"/>
        <v/>
      </c>
      <c r="AK17" s="55">
        <f t="shared" si="26"/>
        <v>0.56612991645986011</v>
      </c>
      <c r="AL17" s="55" t="str">
        <f t="shared" si="27"/>
        <v/>
      </c>
      <c r="AM17" s="55">
        <f t="shared" si="28"/>
        <v>1</v>
      </c>
      <c r="AN17" s="24"/>
      <c r="AO17" s="59" t="s">
        <v>215</v>
      </c>
      <c r="AP17" s="59">
        <f>(AP15/AR15)*100</f>
        <v>104.16666666666667</v>
      </c>
      <c r="AQ17" s="59" t="s">
        <v>217</v>
      </c>
      <c r="AS17" s="42">
        <f t="shared" si="53"/>
        <v>0</v>
      </c>
      <c r="AT17" s="42">
        <f t="shared" si="54"/>
        <v>0</v>
      </c>
      <c r="AU17" s="42">
        <f t="shared" si="55"/>
        <v>0</v>
      </c>
      <c r="AV17" s="42">
        <f t="shared" si="56"/>
        <v>1</v>
      </c>
      <c r="AW17" s="24"/>
      <c r="AX17" s="24" t="str">
        <f t="shared" si="30"/>
        <v/>
      </c>
      <c r="AY17" s="2">
        <f t="shared" si="31"/>
        <v>42.5</v>
      </c>
      <c r="AZ17" s="24"/>
      <c r="BA17" s="42"/>
      <c r="BB17" s="42"/>
      <c r="BC17" s="24"/>
      <c r="BD17" s="24"/>
      <c r="BE17" s="25">
        <f t="shared" si="58"/>
        <v>29.399999999999984</v>
      </c>
      <c r="BF17" s="25">
        <f t="shared" si="39"/>
        <v>2.3040654381023286E-8</v>
      </c>
      <c r="BG17" s="25">
        <f t="shared" si="40"/>
        <v>6.4847463540235011E-6</v>
      </c>
      <c r="BI17" s="27" t="str">
        <f t="shared" si="34"/>
        <v/>
      </c>
      <c r="BJ17" s="27">
        <f t="shared" si="35"/>
        <v>0.55000000000000004</v>
      </c>
      <c r="BK17">
        <f t="shared" si="59"/>
        <v>0.8500000000000002</v>
      </c>
      <c r="BL17">
        <v>0</v>
      </c>
      <c r="BM17">
        <v>0</v>
      </c>
      <c r="BN17" s="47">
        <f t="shared" si="41"/>
        <v>1.8105216981459452E-20</v>
      </c>
      <c r="BO17" s="41">
        <f t="shared" si="42"/>
        <v>1.348582578803284E-15</v>
      </c>
      <c r="BP17">
        <f t="shared" si="60"/>
        <v>0.31000000000000011</v>
      </c>
      <c r="BQ17" s="25">
        <f t="shared" si="43"/>
        <v>2.341205274861099E-11</v>
      </c>
      <c r="BR17" s="25">
        <f t="shared" si="44"/>
        <v>1.8763492681646636E-35</v>
      </c>
      <c r="BS17" s="25"/>
      <c r="BT17" s="25"/>
      <c r="CA17" s="2"/>
    </row>
    <row r="18" spans="1:79">
      <c r="A18" t="s">
        <v>68</v>
      </c>
      <c r="B18" s="7">
        <v>44950</v>
      </c>
      <c r="C18" t="s">
        <v>81</v>
      </c>
      <c r="D18">
        <v>6</v>
      </c>
      <c r="E18" t="s">
        <v>17</v>
      </c>
      <c r="I18" s="61">
        <v>23.5</v>
      </c>
      <c r="J18" s="61">
        <v>16.3</v>
      </c>
      <c r="K18" s="61">
        <v>10.9</v>
      </c>
      <c r="L18" s="63">
        <f t="shared" si="45"/>
        <v>19.899999999999999</v>
      </c>
      <c r="M18" s="15">
        <f t="shared" si="36"/>
        <v>1</v>
      </c>
      <c r="N18" s="15">
        <f t="shared" si="46"/>
        <v>0.69361702127659575</v>
      </c>
      <c r="O18" s="15">
        <f t="shared" si="47"/>
        <v>0.46382978723404256</v>
      </c>
      <c r="P18" s="15">
        <f t="shared" si="48"/>
        <v>0.84680851063829776</v>
      </c>
      <c r="Q18" s="16">
        <f t="shared" si="49"/>
        <v>0.38297872340425521</v>
      </c>
      <c r="R18" s="16">
        <f t="shared" si="50"/>
        <v>0.30638297872340425</v>
      </c>
      <c r="S18" s="14" t="e">
        <f t="shared" si="38"/>
        <v>#N/A</v>
      </c>
      <c r="T18" s="14">
        <f t="shared" si="62"/>
        <v>0.30638297872340425</v>
      </c>
      <c r="U18" s="22">
        <f t="shared" si="9"/>
        <v>51.340191745909898</v>
      </c>
      <c r="V18" s="22" t="str">
        <f t="shared" si="15"/>
        <v/>
      </c>
      <c r="W18" s="22">
        <f t="shared" si="16"/>
        <v>51.340191745909898</v>
      </c>
      <c r="X18" s="22">
        <f t="shared" si="51"/>
        <v>0.49045206925017554</v>
      </c>
      <c r="Y18" s="22" t="str">
        <f t="shared" si="17"/>
        <v/>
      </c>
      <c r="Z18" s="22">
        <f t="shared" si="18"/>
        <v>0.49045206925017554</v>
      </c>
      <c r="AA18" s="2">
        <f t="shared" si="52"/>
        <v>525.05000000000007</v>
      </c>
      <c r="AB18" s="25" t="str">
        <f t="shared" si="63"/>
        <v/>
      </c>
      <c r="AC18" s="25">
        <f t="shared" si="64"/>
        <v>16.873000000000001</v>
      </c>
      <c r="AD18" s="51" t="str">
        <f t="shared" si="21"/>
        <v/>
      </c>
      <c r="AE18" s="51">
        <f t="shared" si="65"/>
        <v>1</v>
      </c>
      <c r="AF18" s="51" t="str">
        <f t="shared" si="22"/>
        <v/>
      </c>
      <c r="AG18" s="51">
        <f t="shared" si="23"/>
        <v>0.4938804717597356</v>
      </c>
      <c r="AH18" s="51" t="str">
        <f t="shared" si="13"/>
        <v/>
      </c>
      <c r="AI18" s="51">
        <f t="shared" si="14"/>
        <v>0.43209505485302474</v>
      </c>
      <c r="AJ18" s="55" t="str">
        <f t="shared" si="25"/>
        <v/>
      </c>
      <c r="AK18" s="55">
        <f t="shared" si="26"/>
        <v>0.43383697252666953</v>
      </c>
      <c r="AL18" s="55" t="str">
        <f t="shared" si="27"/>
        <v/>
      </c>
      <c r="AM18" s="55">
        <f t="shared" si="28"/>
        <v>1</v>
      </c>
      <c r="AN18" s="24"/>
      <c r="AO18" s="60" t="s">
        <v>216</v>
      </c>
      <c r="AP18" s="60">
        <f>(AP16/AR16)*100</f>
        <v>106.66666666666667</v>
      </c>
      <c r="AQ18" s="60" t="s">
        <v>217</v>
      </c>
      <c r="AR18" s="24"/>
      <c r="AS18" s="42">
        <f t="shared" si="53"/>
        <v>0</v>
      </c>
      <c r="AT18" s="42">
        <f t="shared" si="54"/>
        <v>0</v>
      </c>
      <c r="AU18" s="42">
        <f t="shared" si="55"/>
        <v>0</v>
      </c>
      <c r="AV18" s="42">
        <f t="shared" si="56"/>
        <v>1</v>
      </c>
      <c r="AW18" s="24"/>
      <c r="AX18" s="24" t="str">
        <f t="shared" si="30"/>
        <v/>
      </c>
      <c r="AY18" s="2">
        <f t="shared" si="31"/>
        <v>52.5</v>
      </c>
      <c r="AZ18" s="24"/>
      <c r="BA18" s="42"/>
      <c r="BB18" s="42"/>
      <c r="BC18" s="24"/>
      <c r="BD18" s="24"/>
      <c r="BE18" s="25">
        <f t="shared" si="58"/>
        <v>29.799999999999983</v>
      </c>
      <c r="BF18" s="25">
        <f t="shared" si="39"/>
        <v>6.9360062383108363E-8</v>
      </c>
      <c r="BG18" s="25">
        <f t="shared" si="40"/>
        <v>1.4422265784383036E-5</v>
      </c>
      <c r="BI18" s="27" t="str">
        <f t="shared" si="34"/>
        <v/>
      </c>
      <c r="BJ18" s="27">
        <f t="shared" si="35"/>
        <v>0.5</v>
      </c>
      <c r="BN18" s="46"/>
      <c r="BO18" s="24"/>
      <c r="BP18">
        <f t="shared" si="60"/>
        <v>0.32000000000000012</v>
      </c>
      <c r="BQ18" s="25">
        <f t="shared" si="43"/>
        <v>2.2936246284455625E-10</v>
      </c>
      <c r="BR18" s="25">
        <f t="shared" si="44"/>
        <v>2.9000941577344435E-33</v>
      </c>
      <c r="BS18" s="25"/>
      <c r="BT18" s="25"/>
    </row>
    <row r="19" spans="1:79">
      <c r="A19" t="s">
        <v>69</v>
      </c>
      <c r="B19" s="7">
        <v>44950</v>
      </c>
      <c r="C19" t="s">
        <v>81</v>
      </c>
      <c r="D19">
        <v>5</v>
      </c>
      <c r="E19" t="s">
        <v>26</v>
      </c>
      <c r="F19" s="9">
        <v>0</v>
      </c>
      <c r="G19">
        <v>9</v>
      </c>
      <c r="H19">
        <v>9</v>
      </c>
      <c r="I19" s="61">
        <v>19.5</v>
      </c>
      <c r="J19" s="61">
        <v>12.9</v>
      </c>
      <c r="K19" s="61">
        <v>10</v>
      </c>
      <c r="L19" s="63">
        <f t="shared" si="45"/>
        <v>16.2</v>
      </c>
      <c r="M19" s="15">
        <f t="shared" si="36"/>
        <v>1</v>
      </c>
      <c r="N19" s="15">
        <f t="shared" si="46"/>
        <v>0.66153846153846152</v>
      </c>
      <c r="O19" s="15">
        <f t="shared" si="47"/>
        <v>0.51282051282051277</v>
      </c>
      <c r="P19" s="15">
        <f t="shared" si="48"/>
        <v>0.8307692307692307</v>
      </c>
      <c r="Q19" s="16">
        <f t="shared" si="49"/>
        <v>0.31794871794871793</v>
      </c>
      <c r="R19" s="16">
        <f t="shared" si="50"/>
        <v>0.33846153846153848</v>
      </c>
      <c r="S19" s="14">
        <f t="shared" si="38"/>
        <v>0.33846153846153848</v>
      </c>
      <c r="T19" s="14" t="e">
        <f t="shared" si="62"/>
        <v>#N/A</v>
      </c>
      <c r="U19" s="22">
        <f t="shared" si="9"/>
        <v>43.210089391753918</v>
      </c>
      <c r="V19" s="22">
        <f t="shared" si="15"/>
        <v>43.210089391753918</v>
      </c>
      <c r="W19" s="22" t="str">
        <f t="shared" si="16"/>
        <v/>
      </c>
      <c r="X19" s="22">
        <f t="shared" si="51"/>
        <v>0.46437872503268801</v>
      </c>
      <c r="Y19" s="22">
        <f t="shared" si="17"/>
        <v>0.46437872503268801</v>
      </c>
      <c r="Z19" s="22" t="str">
        <f t="shared" si="18"/>
        <v/>
      </c>
      <c r="AA19" s="2">
        <f t="shared" ref="AA19:AA60" si="66">((I19^2)-J19)-K19</f>
        <v>357.35</v>
      </c>
      <c r="AB19" s="25">
        <f t="shared" si="63"/>
        <v>13.629999999999999</v>
      </c>
      <c r="AC19" s="25" t="str">
        <f t="shared" si="64"/>
        <v/>
      </c>
      <c r="AD19" s="51">
        <f t="shared" si="21"/>
        <v>0.57746527740387876</v>
      </c>
      <c r="AE19" s="51" t="str">
        <f t="shared" si="65"/>
        <v/>
      </c>
      <c r="AF19" s="51">
        <f t="shared" si="22"/>
        <v>0.41212286296196282</v>
      </c>
      <c r="AG19" s="51" t="str">
        <f t="shared" si="23"/>
        <v/>
      </c>
      <c r="AH19" s="51">
        <f t="shared" si="13"/>
        <v>5.3345000252634021E-2</v>
      </c>
      <c r="AI19" s="51" t="str">
        <f t="shared" si="14"/>
        <v/>
      </c>
      <c r="AJ19" s="55">
        <f t="shared" si="25"/>
        <v>0.57360435717674374</v>
      </c>
      <c r="AK19" s="55" t="str">
        <f t="shared" si="26"/>
        <v/>
      </c>
      <c r="AL19" s="55">
        <f t="shared" si="27"/>
        <v>1</v>
      </c>
      <c r="AM19" s="55" t="str">
        <f t="shared" si="28"/>
        <v/>
      </c>
      <c r="AN19" s="24"/>
      <c r="AO19" s="24"/>
      <c r="AP19" s="24"/>
      <c r="AQ19" s="24"/>
      <c r="AR19" s="24"/>
      <c r="AS19" s="42">
        <f t="shared" si="53"/>
        <v>0</v>
      </c>
      <c r="AT19" s="42">
        <f t="shared" si="54"/>
        <v>0</v>
      </c>
      <c r="AU19" s="42">
        <f t="shared" si="55"/>
        <v>1</v>
      </c>
      <c r="AV19" s="42">
        <f t="shared" si="56"/>
        <v>0</v>
      </c>
      <c r="AW19" s="24"/>
      <c r="AX19" s="24">
        <f t="shared" si="30"/>
        <v>42.5</v>
      </c>
      <c r="AY19" s="2" t="str">
        <f t="shared" si="31"/>
        <v/>
      </c>
      <c r="AZ19" s="24"/>
      <c r="BA19" s="42"/>
      <c r="BB19" s="42"/>
      <c r="BC19" s="24"/>
      <c r="BD19" s="24"/>
      <c r="BE19" s="25">
        <f t="shared" si="58"/>
        <v>30.199999999999982</v>
      </c>
      <c r="BF19" s="25">
        <f t="shared" si="39"/>
        <v>2.023198815665366E-7</v>
      </c>
      <c r="BG19" s="25">
        <f t="shared" si="40"/>
        <v>3.1346813878145177E-5</v>
      </c>
      <c r="BI19" s="27">
        <f t="shared" si="34"/>
        <v>0.45</v>
      </c>
      <c r="BJ19" s="27" t="str">
        <f t="shared" si="35"/>
        <v/>
      </c>
      <c r="BN19" s="46"/>
      <c r="BO19" s="24"/>
      <c r="BP19">
        <f t="shared" si="60"/>
        <v>0.33000000000000013</v>
      </c>
      <c r="BQ19" s="25">
        <f t="shared" si="43"/>
        <v>2.0316014743196236E-9</v>
      </c>
      <c r="BR19" s="25">
        <f t="shared" si="44"/>
        <v>3.8263001320094178E-31</v>
      </c>
      <c r="BS19" s="25"/>
      <c r="BT19" s="25"/>
      <c r="CA19" s="2"/>
    </row>
    <row r="20" spans="1:79">
      <c r="A20" t="s">
        <v>70</v>
      </c>
      <c r="B20" s="7">
        <v>44950</v>
      </c>
      <c r="C20" t="s">
        <v>81</v>
      </c>
      <c r="D20">
        <v>6</v>
      </c>
      <c r="E20" t="s">
        <v>26</v>
      </c>
      <c r="F20" s="9">
        <v>0</v>
      </c>
      <c r="I20" s="61">
        <v>28.1</v>
      </c>
      <c r="J20" s="61">
        <v>17.100000000000001</v>
      </c>
      <c r="K20" s="61">
        <v>11.7</v>
      </c>
      <c r="L20" s="63">
        <f t="shared" si="45"/>
        <v>22.6</v>
      </c>
      <c r="M20" s="15">
        <f t="shared" si="36"/>
        <v>1</v>
      </c>
      <c r="N20" s="15">
        <f t="shared" si="46"/>
        <v>0.60854092526690395</v>
      </c>
      <c r="O20" s="15">
        <f t="shared" si="47"/>
        <v>0.41637010676156577</v>
      </c>
      <c r="P20" s="15">
        <f t="shared" si="48"/>
        <v>0.80427046263345192</v>
      </c>
      <c r="Q20" s="16">
        <f t="shared" si="49"/>
        <v>0.38790035587188615</v>
      </c>
      <c r="R20" s="16">
        <f t="shared" si="50"/>
        <v>0.39145907473309605</v>
      </c>
      <c r="S20" s="14" t="e">
        <f t="shared" si="38"/>
        <v>#N/A</v>
      </c>
      <c r="T20" s="14">
        <f t="shared" si="62"/>
        <v>0.39145907473309605</v>
      </c>
      <c r="U20" s="22">
        <f t="shared" si="9"/>
        <v>44.738377254305213</v>
      </c>
      <c r="V20" s="22" t="str">
        <f t="shared" si="15"/>
        <v/>
      </c>
      <c r="W20" s="22">
        <f t="shared" si="16"/>
        <v>44.738377254305213</v>
      </c>
      <c r="X20" s="22">
        <f t="shared" si="51"/>
        <v>0.55109608352484929</v>
      </c>
      <c r="Y20" s="22" t="str">
        <f t="shared" si="17"/>
        <v/>
      </c>
      <c r="Z20" s="22">
        <f t="shared" si="18"/>
        <v>0.55109608352484929</v>
      </c>
      <c r="AA20" s="2">
        <f t="shared" si="66"/>
        <v>760.81000000000006</v>
      </c>
      <c r="AB20" s="25" t="str">
        <f t="shared" si="63"/>
        <v/>
      </c>
      <c r="AC20" s="25">
        <f t="shared" si="64"/>
        <v>18.409000000000002</v>
      </c>
      <c r="AD20" s="51" t="str">
        <f t="shared" si="21"/>
        <v/>
      </c>
      <c r="AE20" s="51">
        <f t="shared" si="65"/>
        <v>0.65689289835136055</v>
      </c>
      <c r="AF20" s="51" t="str">
        <f t="shared" si="22"/>
        <v/>
      </c>
      <c r="AG20" s="51">
        <f t="shared" si="23"/>
        <v>0.68404056605519226</v>
      </c>
      <c r="AH20" s="51" t="str">
        <f t="shared" si="13"/>
        <v/>
      </c>
      <c r="AI20" s="51">
        <f t="shared" si="14"/>
        <v>3.9938243409653525E-2</v>
      </c>
      <c r="AJ20" s="55" t="str">
        <f t="shared" si="25"/>
        <v/>
      </c>
      <c r="AK20" s="55">
        <f t="shared" si="26"/>
        <v>0.54733103511554537</v>
      </c>
      <c r="AL20" s="55" t="str">
        <f t="shared" si="27"/>
        <v/>
      </c>
      <c r="AM20" s="55">
        <f t="shared" si="28"/>
        <v>1</v>
      </c>
      <c r="AN20" s="24"/>
      <c r="AO20" s="24"/>
      <c r="AP20" s="24"/>
      <c r="AQ20" s="24"/>
      <c r="AR20" s="24"/>
      <c r="AS20" s="42">
        <f t="shared" si="53"/>
        <v>0</v>
      </c>
      <c r="AT20" s="42">
        <f t="shared" si="54"/>
        <v>1</v>
      </c>
      <c r="AU20" s="42">
        <f t="shared" si="55"/>
        <v>0</v>
      </c>
      <c r="AV20" s="42">
        <f t="shared" si="56"/>
        <v>0</v>
      </c>
      <c r="AW20" s="24"/>
      <c r="AX20" s="24" t="str">
        <f t="shared" si="30"/>
        <v/>
      </c>
      <c r="AY20" s="2">
        <f t="shared" si="31"/>
        <v>45</v>
      </c>
      <c r="AZ20" s="24"/>
      <c r="BA20" s="42"/>
      <c r="BB20" s="42" t="s">
        <v>180</v>
      </c>
      <c r="BC20" s="24"/>
      <c r="BD20" s="24"/>
      <c r="BE20" s="25">
        <f t="shared" si="58"/>
        <v>30.59999999999998</v>
      </c>
      <c r="BF20" s="25">
        <f t="shared" si="39"/>
        <v>5.7184992763701264E-7</v>
      </c>
      <c r="BG20" s="25">
        <f t="shared" si="40"/>
        <v>6.6584435945959031E-5</v>
      </c>
      <c r="BI20" s="27" t="str">
        <f t="shared" si="34"/>
        <v/>
      </c>
      <c r="BJ20" s="27">
        <f t="shared" si="35"/>
        <v>0.55000000000000004</v>
      </c>
      <c r="BM20" t="s">
        <v>181</v>
      </c>
      <c r="BN20" s="46"/>
      <c r="BO20" s="24"/>
      <c r="BP20">
        <f t="shared" si="60"/>
        <v>0.34000000000000014</v>
      </c>
      <c r="BQ20" s="25">
        <f t="shared" si="43"/>
        <v>1.6270017569725138E-8</v>
      </c>
      <c r="BR20" s="25">
        <f t="shared" si="44"/>
        <v>4.3093769578342027E-29</v>
      </c>
      <c r="BS20" s="25"/>
      <c r="BT20" s="25"/>
    </row>
    <row r="21" spans="1:79">
      <c r="A21" t="s">
        <v>71</v>
      </c>
      <c r="B21" s="7">
        <v>44950</v>
      </c>
      <c r="C21" t="s">
        <v>81</v>
      </c>
      <c r="D21">
        <v>6</v>
      </c>
      <c r="E21" t="s">
        <v>26</v>
      </c>
      <c r="F21" s="9">
        <v>0</v>
      </c>
      <c r="I21" s="61">
        <v>19.899999999999999</v>
      </c>
      <c r="J21" s="61">
        <v>12</v>
      </c>
      <c r="K21" s="61">
        <v>8.4</v>
      </c>
      <c r="L21" s="63">
        <f t="shared" si="45"/>
        <v>15.95</v>
      </c>
      <c r="M21" s="15">
        <f t="shared" si="36"/>
        <v>1</v>
      </c>
      <c r="N21" s="15">
        <f t="shared" si="46"/>
        <v>0.60301507537688448</v>
      </c>
      <c r="O21" s="15">
        <f t="shared" si="47"/>
        <v>0.42211055276381915</v>
      </c>
      <c r="P21" s="15">
        <f t="shared" si="48"/>
        <v>0.80150753768844218</v>
      </c>
      <c r="Q21" s="16">
        <f t="shared" si="49"/>
        <v>0.37939698492462304</v>
      </c>
      <c r="R21" s="16">
        <f t="shared" si="50"/>
        <v>0.39698492462311552</v>
      </c>
      <c r="S21" s="14" t="e">
        <f t="shared" si="38"/>
        <v>#N/A</v>
      </c>
      <c r="T21" s="14">
        <f t="shared" si="62"/>
        <v>0.39698492462311552</v>
      </c>
      <c r="U21" s="22">
        <f t="shared" si="9"/>
        <v>43.702259323260989</v>
      </c>
      <c r="V21" s="22" t="str">
        <f t="shared" si="15"/>
        <v/>
      </c>
      <c r="W21" s="22">
        <f t="shared" si="16"/>
        <v>43.702259323260989</v>
      </c>
      <c r="X21" s="22">
        <f t="shared" si="51"/>
        <v>0.54912576205083963</v>
      </c>
      <c r="Y21" s="22" t="str">
        <f t="shared" si="17"/>
        <v/>
      </c>
      <c r="Z21" s="22">
        <f t="shared" si="18"/>
        <v>0.54912576205083963</v>
      </c>
      <c r="AA21" s="2">
        <f t="shared" si="66"/>
        <v>375.60999999999996</v>
      </c>
      <c r="AB21" s="25" t="str">
        <f t="shared" si="63"/>
        <v/>
      </c>
      <c r="AC21" s="25">
        <f t="shared" si="64"/>
        <v>12.968</v>
      </c>
      <c r="AD21" s="51" t="str">
        <f t="shared" si="21"/>
        <v/>
      </c>
      <c r="AE21" s="51">
        <f t="shared" si="65"/>
        <v>0.60304415407979006</v>
      </c>
      <c r="AF21" s="51" t="str">
        <f t="shared" si="22"/>
        <v/>
      </c>
      <c r="AG21" s="51">
        <f t="shared" si="23"/>
        <v>0.67786227258680432</v>
      </c>
      <c r="AH21" s="51" t="str">
        <f t="shared" si="13"/>
        <v/>
      </c>
      <c r="AI21" s="51">
        <f t="shared" si="14"/>
        <v>2.8547878292839113E-2</v>
      </c>
      <c r="AJ21" s="55" t="str">
        <f t="shared" si="25"/>
        <v/>
      </c>
      <c r="AK21" s="55">
        <f t="shared" si="26"/>
        <v>0.56514329467917435</v>
      </c>
      <c r="AL21" s="55" t="str">
        <f t="shared" si="27"/>
        <v/>
      </c>
      <c r="AM21" s="55">
        <f t="shared" si="28"/>
        <v>1</v>
      </c>
      <c r="AN21" s="24"/>
      <c r="AO21" s="24"/>
      <c r="AP21" s="24"/>
      <c r="AQ21" s="24"/>
      <c r="AR21" s="24"/>
      <c r="AS21" s="42">
        <f t="shared" si="53"/>
        <v>0</v>
      </c>
      <c r="AT21" s="42">
        <f t="shared" si="54"/>
        <v>0</v>
      </c>
      <c r="AU21" s="42">
        <f t="shared" si="55"/>
        <v>0</v>
      </c>
      <c r="AV21" s="42">
        <f t="shared" si="56"/>
        <v>1</v>
      </c>
      <c r="AW21" s="24"/>
      <c r="AX21" s="24" t="str">
        <f t="shared" si="30"/>
        <v/>
      </c>
      <c r="AY21" s="2">
        <f t="shared" si="31"/>
        <v>42.5</v>
      </c>
      <c r="AZ21" s="24"/>
      <c r="BA21" s="42"/>
      <c r="BB21" s="42">
        <f>TTEST(V6:V59,W6:W59,2,3)</f>
        <v>0.10817123166014042</v>
      </c>
      <c r="BC21" s="24"/>
      <c r="BD21" s="24"/>
      <c r="BE21" s="25">
        <f t="shared" si="58"/>
        <v>30.999999999999979</v>
      </c>
      <c r="BF21" s="25">
        <f t="shared" si="39"/>
        <v>1.5661739647532678E-6</v>
      </c>
      <c r="BG21" s="25">
        <f t="shared" si="40"/>
        <v>1.3822017999669421E-4</v>
      </c>
      <c r="BI21" s="27" t="str">
        <f t="shared" si="34"/>
        <v/>
      </c>
      <c r="BJ21" s="27">
        <f t="shared" si="35"/>
        <v>0.55000000000000004</v>
      </c>
      <c r="BM21">
        <f>TTEST(Y6:Y59,Z6:Z59,2,3)</f>
        <v>1.6795000637996354E-5</v>
      </c>
      <c r="BN21" s="46"/>
      <c r="BO21" s="24"/>
      <c r="BP21">
        <f t="shared" si="60"/>
        <v>0.35000000000000014</v>
      </c>
      <c r="BQ21" s="25">
        <f t="shared" si="43"/>
        <v>1.1780693339922498E-7</v>
      </c>
      <c r="BR21" s="25">
        <f t="shared" si="44"/>
        <v>4.1430336021826462E-27</v>
      </c>
      <c r="BS21" s="25"/>
      <c r="BT21" s="25"/>
    </row>
    <row r="22" spans="1:79">
      <c r="A22" s="5" t="s">
        <v>72</v>
      </c>
      <c r="B22" s="7">
        <v>44950</v>
      </c>
      <c r="C22" t="s">
        <v>81</v>
      </c>
      <c r="D22">
        <v>5</v>
      </c>
      <c r="E22" t="s">
        <v>26</v>
      </c>
      <c r="F22" s="9">
        <v>0</v>
      </c>
      <c r="G22">
        <v>10</v>
      </c>
      <c r="H22">
        <v>10</v>
      </c>
      <c r="I22" s="61">
        <v>21.5</v>
      </c>
      <c r="J22" s="61">
        <v>13.9</v>
      </c>
      <c r="K22" s="61">
        <v>10.6</v>
      </c>
      <c r="L22" s="63">
        <f t="shared" si="45"/>
        <v>17.7</v>
      </c>
      <c r="M22" s="15">
        <f t="shared" si="36"/>
        <v>1</v>
      </c>
      <c r="N22" s="15">
        <f t="shared" si="46"/>
        <v>0.6465116279069768</v>
      </c>
      <c r="O22" s="15">
        <f t="shared" si="47"/>
        <v>0.49302325581395345</v>
      </c>
      <c r="P22" s="15">
        <f t="shared" si="48"/>
        <v>0.82325581395348835</v>
      </c>
      <c r="Q22" s="16">
        <f t="shared" si="49"/>
        <v>0.33023255813953489</v>
      </c>
      <c r="R22" s="16">
        <f t="shared" si="50"/>
        <v>0.3534883720930232</v>
      </c>
      <c r="S22" s="14">
        <f t="shared" si="38"/>
        <v>0.3534883720930232</v>
      </c>
      <c r="T22" s="14" t="e">
        <f t="shared" si="62"/>
        <v>#N/A</v>
      </c>
      <c r="U22" s="22">
        <f t="shared" si="9"/>
        <v>43.051914993485049</v>
      </c>
      <c r="V22" s="22">
        <f t="shared" si="15"/>
        <v>43.051914993485049</v>
      </c>
      <c r="W22" s="22" t="str">
        <f t="shared" si="16"/>
        <v/>
      </c>
      <c r="X22" s="22">
        <f t="shared" si="51"/>
        <v>0.48374329107529429</v>
      </c>
      <c r="Y22" s="22">
        <f t="shared" si="17"/>
        <v>0.48374329107529429</v>
      </c>
      <c r="Z22" s="22" t="str">
        <f t="shared" si="18"/>
        <v/>
      </c>
      <c r="AA22" s="2">
        <f t="shared" si="66"/>
        <v>437.75</v>
      </c>
      <c r="AB22" s="25">
        <f t="shared" si="63"/>
        <v>14.772000000000002</v>
      </c>
      <c r="AC22" s="25" t="str">
        <f t="shared" si="64"/>
        <v/>
      </c>
      <c r="AD22" s="51">
        <f t="shared" si="21"/>
        <v>0.56924469510577513</v>
      </c>
      <c r="AE22" s="51" t="str">
        <f t="shared" si="65"/>
        <v/>
      </c>
      <c r="AF22" s="51">
        <f t="shared" si="22"/>
        <v>0.47284390441502577</v>
      </c>
      <c r="AG22" s="51" t="str">
        <f t="shared" si="23"/>
        <v/>
      </c>
      <c r="AH22" s="51">
        <f t="shared" si="13"/>
        <v>4.2382361487287898E-2</v>
      </c>
      <c r="AI22" s="51" t="str">
        <f t="shared" si="14"/>
        <v/>
      </c>
      <c r="AJ22" s="55">
        <f t="shared" si="25"/>
        <v>0.57632358763678071</v>
      </c>
      <c r="AK22" s="55" t="str">
        <f t="shared" si="26"/>
        <v/>
      </c>
      <c r="AL22" s="55">
        <f t="shared" si="27"/>
        <v>1</v>
      </c>
      <c r="AM22" s="55" t="str">
        <f t="shared" si="28"/>
        <v/>
      </c>
      <c r="AN22" s="24"/>
      <c r="AO22" s="24"/>
      <c r="AP22" s="24"/>
      <c r="AQ22" s="24"/>
      <c r="AR22" s="24"/>
      <c r="AS22" s="42">
        <f t="shared" si="53"/>
        <v>0</v>
      </c>
      <c r="AT22" s="42">
        <f t="shared" si="54"/>
        <v>0</v>
      </c>
      <c r="AU22" s="42">
        <f t="shared" si="55"/>
        <v>0</v>
      </c>
      <c r="AV22" s="42">
        <f t="shared" si="56"/>
        <v>1</v>
      </c>
      <c r="AW22" s="24"/>
      <c r="AX22" s="24">
        <f t="shared" si="30"/>
        <v>42.5</v>
      </c>
      <c r="AY22" s="2" t="str">
        <f t="shared" si="31"/>
        <v/>
      </c>
      <c r="AZ22" s="24"/>
      <c r="BA22" s="42"/>
      <c r="BB22" s="42"/>
      <c r="BC22" s="24"/>
      <c r="BD22" s="24"/>
      <c r="BE22" s="25">
        <f t="shared" si="58"/>
        <v>31.399999999999977</v>
      </c>
      <c r="BF22" s="25">
        <f t="shared" si="39"/>
        <v>4.156352292713975E-6</v>
      </c>
      <c r="BG22" s="25">
        <f t="shared" si="40"/>
        <v>2.804074788197467E-4</v>
      </c>
      <c r="BI22" s="27">
        <f t="shared" si="34"/>
        <v>0.5</v>
      </c>
      <c r="BJ22" s="27" t="str">
        <f t="shared" si="35"/>
        <v/>
      </c>
      <c r="BN22" s="46"/>
      <c r="BO22" s="24"/>
      <c r="BP22">
        <f t="shared" si="60"/>
        <v>0.36000000000000015</v>
      </c>
      <c r="BQ22" s="25">
        <f t="shared" si="43"/>
        <v>7.7123549112417124E-7</v>
      </c>
      <c r="BR22" s="25">
        <f t="shared" si="44"/>
        <v>3.4000941598874394E-25</v>
      </c>
      <c r="BS22" s="25"/>
      <c r="BT22" s="25"/>
    </row>
    <row r="23" spans="1:79">
      <c r="A23" t="s">
        <v>73</v>
      </c>
      <c r="B23" s="7">
        <v>44950</v>
      </c>
      <c r="C23" t="s">
        <v>81</v>
      </c>
      <c r="D23">
        <v>6</v>
      </c>
      <c r="E23" t="s">
        <v>26</v>
      </c>
      <c r="F23" s="9">
        <v>0</v>
      </c>
      <c r="I23" s="61">
        <v>29.7</v>
      </c>
      <c r="J23" s="61">
        <v>17.399999999999999</v>
      </c>
      <c r="K23" s="61">
        <v>11.2</v>
      </c>
      <c r="L23" s="63">
        <f t="shared" si="45"/>
        <v>23.549999999999997</v>
      </c>
      <c r="M23" s="15">
        <f t="shared" si="36"/>
        <v>1</v>
      </c>
      <c r="N23" s="15">
        <f t="shared" si="46"/>
        <v>0.58585858585858586</v>
      </c>
      <c r="O23" s="15">
        <f t="shared" si="47"/>
        <v>0.37710437710437711</v>
      </c>
      <c r="P23" s="15">
        <f t="shared" si="48"/>
        <v>0.79292929292929282</v>
      </c>
      <c r="Q23" s="16">
        <f t="shared" si="49"/>
        <v>0.41582491582491571</v>
      </c>
      <c r="R23" s="16">
        <f t="shared" si="50"/>
        <v>0.41414141414141414</v>
      </c>
      <c r="S23" s="14" t="e">
        <f t="shared" si="38"/>
        <v>#N/A</v>
      </c>
      <c r="T23" s="14">
        <f t="shared" si="62"/>
        <v>0.41414141414141414</v>
      </c>
      <c r="U23" s="22">
        <f t="shared" si="9"/>
        <v>45.116218460312545</v>
      </c>
      <c r="V23" s="22" t="str">
        <f t="shared" si="15"/>
        <v/>
      </c>
      <c r="W23" s="22">
        <f t="shared" si="16"/>
        <v>45.116218460312545</v>
      </c>
      <c r="X23" s="22">
        <f t="shared" si="51"/>
        <v>0.58687602739236888</v>
      </c>
      <c r="Y23" s="22" t="str">
        <f t="shared" si="17"/>
        <v/>
      </c>
      <c r="Z23" s="22">
        <f t="shared" si="18"/>
        <v>0.58687602739236888</v>
      </c>
      <c r="AA23" s="2">
        <f t="shared" si="66"/>
        <v>853.4899999999999</v>
      </c>
      <c r="AB23" s="25" t="str">
        <f t="shared" si="63"/>
        <v/>
      </c>
      <c r="AC23" s="25">
        <f t="shared" si="64"/>
        <v>18.903999999999996</v>
      </c>
      <c r="AD23" s="51" t="str">
        <f t="shared" si="21"/>
        <v/>
      </c>
      <c r="AE23" s="51">
        <f t="shared" si="65"/>
        <v>0.67652992408746104</v>
      </c>
      <c r="AF23" s="51" t="str">
        <f t="shared" si="22"/>
        <v/>
      </c>
      <c r="AG23" s="51">
        <f t="shared" si="23"/>
        <v>0.79623494469439016</v>
      </c>
      <c r="AH23" s="51" t="str">
        <f t="shared" si="13"/>
        <v/>
      </c>
      <c r="AI23" s="51">
        <f t="shared" si="14"/>
        <v>0.11096548463064457</v>
      </c>
      <c r="AJ23" s="55" t="str">
        <f t="shared" si="25"/>
        <v/>
      </c>
      <c r="AK23" s="55">
        <f t="shared" si="26"/>
        <v>0.54083543704356307</v>
      </c>
      <c r="AL23" s="55" t="str">
        <f t="shared" si="27"/>
        <v/>
      </c>
      <c r="AM23" s="55">
        <f t="shared" si="28"/>
        <v>1</v>
      </c>
      <c r="AN23" s="24"/>
      <c r="AO23" s="24"/>
      <c r="AP23" s="24"/>
      <c r="AQ23" s="24"/>
      <c r="AR23" s="24"/>
      <c r="AS23" s="42">
        <f t="shared" si="53"/>
        <v>0</v>
      </c>
      <c r="AT23" s="42">
        <f t="shared" si="54"/>
        <v>1</v>
      </c>
      <c r="AU23" s="42">
        <f t="shared" si="55"/>
        <v>0</v>
      </c>
      <c r="AV23" s="42">
        <f t="shared" si="56"/>
        <v>0</v>
      </c>
      <c r="AW23" s="24"/>
      <c r="AX23" s="24" t="str">
        <f t="shared" si="30"/>
        <v/>
      </c>
      <c r="AY23" s="2">
        <f t="shared" si="31"/>
        <v>45</v>
      </c>
      <c r="AZ23" s="24"/>
      <c r="BA23" s="42"/>
      <c r="BB23" s="42"/>
      <c r="BC23" s="24"/>
      <c r="BD23" s="24"/>
      <c r="BE23" s="25">
        <f t="shared" si="58"/>
        <v>31.799999999999976</v>
      </c>
      <c r="BF23" s="25">
        <f t="shared" si="39"/>
        <v>1.0688065919530768E-5</v>
      </c>
      <c r="BG23" s="25">
        <f t="shared" si="40"/>
        <v>5.5593899850761867E-4</v>
      </c>
      <c r="BI23" s="27" t="str">
        <f t="shared" si="34"/>
        <v/>
      </c>
      <c r="BJ23" s="27">
        <f t="shared" si="35"/>
        <v>0.60000000000000009</v>
      </c>
      <c r="BN23" s="46"/>
      <c r="BO23" s="24"/>
      <c r="BP23">
        <f t="shared" si="60"/>
        <v>0.37000000000000016</v>
      </c>
      <c r="BQ23" s="25">
        <f t="shared" si="43"/>
        <v>4.5649548804531001E-6</v>
      </c>
      <c r="BR23" s="25">
        <f t="shared" si="44"/>
        <v>2.3819462159821332E-23</v>
      </c>
      <c r="BS23" s="25"/>
      <c r="BT23" s="25"/>
    </row>
    <row r="24" spans="1:79">
      <c r="A24" t="s">
        <v>74</v>
      </c>
      <c r="B24" s="7">
        <v>44950</v>
      </c>
      <c r="C24" t="s">
        <v>81</v>
      </c>
      <c r="D24">
        <v>6</v>
      </c>
      <c r="E24" t="s">
        <v>17</v>
      </c>
      <c r="I24" s="61">
        <v>29.7</v>
      </c>
      <c r="J24" s="61">
        <v>17</v>
      </c>
      <c r="K24" s="61">
        <v>11.2</v>
      </c>
      <c r="L24" s="63">
        <f t="shared" si="45"/>
        <v>23.35</v>
      </c>
      <c r="M24" s="15">
        <f t="shared" si="36"/>
        <v>1</v>
      </c>
      <c r="N24" s="15">
        <f t="shared" si="46"/>
        <v>0.57239057239057245</v>
      </c>
      <c r="O24" s="15">
        <f t="shared" si="47"/>
        <v>0.37710437710437711</v>
      </c>
      <c r="P24" s="15">
        <f t="shared" si="48"/>
        <v>0.78619528619528622</v>
      </c>
      <c r="Q24" s="16">
        <f t="shared" si="49"/>
        <v>0.40909090909090912</v>
      </c>
      <c r="R24" s="16">
        <f t="shared" si="50"/>
        <v>0.42760942760942755</v>
      </c>
      <c r="S24" s="14" t="e">
        <f t="shared" si="38"/>
        <v>#N/A</v>
      </c>
      <c r="T24" s="14">
        <f t="shared" si="62"/>
        <v>0.42760942760942755</v>
      </c>
      <c r="U24" s="22">
        <f t="shared" si="9"/>
        <v>43.732091161509295</v>
      </c>
      <c r="V24" s="22" t="str">
        <f t="shared" si="15"/>
        <v/>
      </c>
      <c r="W24" s="22">
        <f t="shared" si="16"/>
        <v>43.732091161509295</v>
      </c>
      <c r="X24" s="22">
        <f t="shared" si="51"/>
        <v>0.59178137388843921</v>
      </c>
      <c r="Y24" s="22" t="str">
        <f t="shared" si="17"/>
        <v/>
      </c>
      <c r="Z24" s="22">
        <f t="shared" si="18"/>
        <v>0.59178137388843921</v>
      </c>
      <c r="AA24" s="2">
        <f t="shared" si="66"/>
        <v>853.88999999999987</v>
      </c>
      <c r="AB24" s="25" t="str">
        <f t="shared" si="63"/>
        <v/>
      </c>
      <c r="AC24" s="25">
        <f t="shared" si="64"/>
        <v>18.623999999999999</v>
      </c>
      <c r="AD24" s="51" t="str">
        <f t="shared" si="21"/>
        <v/>
      </c>
      <c r="AE24" s="51">
        <f t="shared" si="65"/>
        <v>0.60459456352725993</v>
      </c>
      <c r="AF24" s="51" t="str">
        <f t="shared" si="22"/>
        <v/>
      </c>
      <c r="AG24" s="51">
        <f t="shared" si="23"/>
        <v>0.81161653121040978</v>
      </c>
      <c r="AH24" s="51" t="str">
        <f t="shared" si="13"/>
        <v/>
      </c>
      <c r="AI24" s="51">
        <f t="shared" si="14"/>
        <v>0.11228509877667457</v>
      </c>
      <c r="AJ24" s="55" t="str">
        <f t="shared" si="25"/>
        <v/>
      </c>
      <c r="AK24" s="55">
        <f t="shared" si="26"/>
        <v>0.56463044529184303</v>
      </c>
      <c r="AL24" s="55" t="str">
        <f t="shared" si="27"/>
        <v/>
      </c>
      <c r="AM24" s="55">
        <f t="shared" si="28"/>
        <v>1</v>
      </c>
      <c r="AN24" s="24"/>
      <c r="AO24" s="24"/>
      <c r="AP24" s="24"/>
      <c r="AQ24" s="24"/>
      <c r="AR24" s="24"/>
      <c r="AS24" s="42">
        <f t="shared" si="53"/>
        <v>0</v>
      </c>
      <c r="AT24" s="42">
        <f t="shared" si="54"/>
        <v>0</v>
      </c>
      <c r="AU24" s="42">
        <f t="shared" si="55"/>
        <v>0</v>
      </c>
      <c r="AV24" s="42">
        <f t="shared" si="56"/>
        <v>1</v>
      </c>
      <c r="AW24" s="24"/>
      <c r="AX24" s="24" t="str">
        <f t="shared" si="30"/>
        <v/>
      </c>
      <c r="AY24" s="2">
        <f t="shared" si="31"/>
        <v>42.5</v>
      </c>
      <c r="AZ24" s="24"/>
      <c r="BA24" s="42"/>
      <c r="BB24" s="42"/>
      <c r="BC24" s="24"/>
      <c r="BD24" s="24"/>
      <c r="BE24" s="25">
        <f t="shared" si="58"/>
        <v>32.199999999999974</v>
      </c>
      <c r="BF24" s="25">
        <f t="shared" si="39"/>
        <v>2.663178753655282E-5</v>
      </c>
      <c r="BG24" s="25">
        <f t="shared" si="40"/>
        <v>1.0771696229646859E-3</v>
      </c>
      <c r="BI24" s="27" t="str">
        <f t="shared" si="34"/>
        <v/>
      </c>
      <c r="BJ24" s="27">
        <f t="shared" si="35"/>
        <v>0.60000000000000009</v>
      </c>
      <c r="BN24" s="46"/>
      <c r="BO24" s="24"/>
      <c r="BP24">
        <f t="shared" si="60"/>
        <v>0.38000000000000017</v>
      </c>
      <c r="BQ24" s="25">
        <f t="shared" si="43"/>
        <v>2.4429765509655075E-5</v>
      </c>
      <c r="BR24" s="25">
        <f t="shared" si="44"/>
        <v>1.4244311936192386E-21</v>
      </c>
      <c r="BS24" s="25"/>
      <c r="BT24" s="25"/>
    </row>
    <row r="25" spans="1:79">
      <c r="A25" t="s">
        <v>75</v>
      </c>
      <c r="B25" s="7">
        <v>44950</v>
      </c>
      <c r="C25" t="s">
        <v>81</v>
      </c>
      <c r="D25">
        <v>6</v>
      </c>
      <c r="E25" t="s">
        <v>17</v>
      </c>
      <c r="I25" s="61">
        <v>22.9</v>
      </c>
      <c r="J25" s="61">
        <v>12.7</v>
      </c>
      <c r="K25" s="61">
        <v>8.1999999999999993</v>
      </c>
      <c r="L25" s="63">
        <f t="shared" si="45"/>
        <v>17.799999999999997</v>
      </c>
      <c r="M25" s="15">
        <f t="shared" si="36"/>
        <v>1</v>
      </c>
      <c r="N25" s="15">
        <f t="shared" si="46"/>
        <v>0.55458515283842791</v>
      </c>
      <c r="O25" s="15">
        <f t="shared" si="47"/>
        <v>0.35807860262008734</v>
      </c>
      <c r="P25" s="15">
        <f t="shared" si="48"/>
        <v>0.7772925764192139</v>
      </c>
      <c r="Q25" s="16">
        <f t="shared" si="49"/>
        <v>0.41921397379912656</v>
      </c>
      <c r="R25" s="16">
        <f t="shared" si="50"/>
        <v>0.44541484716157209</v>
      </c>
      <c r="S25" s="14" t="e">
        <f t="shared" si="38"/>
        <v>#N/A</v>
      </c>
      <c r="T25" s="14">
        <f t="shared" si="62"/>
        <v>0.44541484716157209</v>
      </c>
      <c r="U25" s="22">
        <f t="shared" si="9"/>
        <v>43.2642954110716</v>
      </c>
      <c r="V25" s="22" t="str">
        <f t="shared" si="15"/>
        <v/>
      </c>
      <c r="W25" s="22">
        <f t="shared" si="16"/>
        <v>43.2642954110716</v>
      </c>
      <c r="X25" s="22">
        <f t="shared" si="51"/>
        <v>0.61166554741984724</v>
      </c>
      <c r="Y25" s="22" t="str">
        <f t="shared" si="17"/>
        <v/>
      </c>
      <c r="Z25" s="22">
        <f t="shared" si="18"/>
        <v>0.61166554741984724</v>
      </c>
      <c r="AA25" s="2">
        <f t="shared" si="66"/>
        <v>503.51</v>
      </c>
      <c r="AB25" s="25" t="str">
        <f t="shared" si="63"/>
        <v/>
      </c>
      <c r="AC25" s="25">
        <f t="shared" si="64"/>
        <v>14.043999999999999</v>
      </c>
      <c r="AD25" s="51" t="str">
        <f t="shared" si="21"/>
        <v/>
      </c>
      <c r="AE25" s="51">
        <f t="shared" si="65"/>
        <v>0.58028245292488911</v>
      </c>
      <c r="AF25" s="51" t="str">
        <f t="shared" si="22"/>
        <v/>
      </c>
      <c r="AG25" s="51">
        <f t="shared" si="23"/>
        <v>0.8739668943739326</v>
      </c>
      <c r="AH25" s="51" t="str">
        <f t="shared" si="13"/>
        <v/>
      </c>
      <c r="AI25" s="51">
        <f t="shared" si="14"/>
        <v>0.17810226031227089</v>
      </c>
      <c r="AJ25" s="55" t="str">
        <f t="shared" si="25"/>
        <v/>
      </c>
      <c r="AK25" s="55">
        <f t="shared" si="26"/>
        <v>0.57267248286295347</v>
      </c>
      <c r="AL25" s="55" t="str">
        <f t="shared" si="27"/>
        <v/>
      </c>
      <c r="AM25" s="55">
        <f t="shared" si="28"/>
        <v>1</v>
      </c>
      <c r="AN25" s="24"/>
      <c r="AO25" s="24"/>
      <c r="AP25" s="24"/>
      <c r="AQ25" s="24"/>
      <c r="AR25" s="24"/>
      <c r="AS25" s="42">
        <f t="shared" si="53"/>
        <v>0</v>
      </c>
      <c r="AT25" s="42">
        <f t="shared" si="54"/>
        <v>0</v>
      </c>
      <c r="AU25" s="42">
        <f t="shared" si="55"/>
        <v>1</v>
      </c>
      <c r="AV25" s="42">
        <f t="shared" si="56"/>
        <v>0</v>
      </c>
      <c r="AW25" s="24"/>
      <c r="AX25" s="24" t="str">
        <f t="shared" si="30"/>
        <v/>
      </c>
      <c r="AY25" s="2">
        <f t="shared" si="31"/>
        <v>42.5</v>
      </c>
      <c r="AZ25" s="24"/>
      <c r="BA25" s="42"/>
      <c r="BB25" s="42"/>
      <c r="BC25" s="24"/>
      <c r="BD25" s="24"/>
      <c r="BE25" s="25">
        <f t="shared" si="58"/>
        <v>32.599999999999973</v>
      </c>
      <c r="BF25" s="25">
        <f t="shared" si="39"/>
        <v>6.430073430633166E-5</v>
      </c>
      <c r="BG25" s="25">
        <f t="shared" si="40"/>
        <v>2.0396726095688999E-3</v>
      </c>
      <c r="BI25" s="27" t="str">
        <f t="shared" si="34"/>
        <v/>
      </c>
      <c r="BJ25" s="27">
        <f t="shared" si="35"/>
        <v>0.60000000000000009</v>
      </c>
      <c r="BN25" s="46"/>
      <c r="BO25" s="24"/>
      <c r="BP25">
        <f t="shared" si="60"/>
        <v>0.39000000000000018</v>
      </c>
      <c r="BQ25" s="25">
        <f t="shared" si="43"/>
        <v>1.1820488750938426E-4</v>
      </c>
      <c r="BR25" s="25">
        <f t="shared" si="44"/>
        <v>7.2714248253652798E-20</v>
      </c>
      <c r="BS25" s="25"/>
      <c r="BT25" s="25"/>
    </row>
    <row r="26" spans="1:79">
      <c r="A26" t="s">
        <v>76</v>
      </c>
      <c r="B26" s="7">
        <v>44950</v>
      </c>
      <c r="C26" t="s">
        <v>81</v>
      </c>
      <c r="D26">
        <v>5</v>
      </c>
      <c r="E26" t="s">
        <v>26</v>
      </c>
      <c r="F26" s="9">
        <v>1</v>
      </c>
      <c r="G26">
        <v>9</v>
      </c>
      <c r="H26">
        <v>8</v>
      </c>
      <c r="I26" s="61">
        <v>19.5</v>
      </c>
      <c r="J26" s="61">
        <v>14</v>
      </c>
      <c r="K26" s="61">
        <v>13.3</v>
      </c>
      <c r="L26" s="63">
        <f t="shared" si="45"/>
        <v>16.75</v>
      </c>
      <c r="M26" s="15">
        <f t="shared" si="36"/>
        <v>1</v>
      </c>
      <c r="N26" s="15">
        <f t="shared" si="46"/>
        <v>0.71794871794871795</v>
      </c>
      <c r="O26" s="15">
        <f t="shared" si="47"/>
        <v>0.68205128205128207</v>
      </c>
      <c r="P26" s="15">
        <f t="shared" si="48"/>
        <v>0.85897435897435892</v>
      </c>
      <c r="Q26" s="16">
        <f t="shared" si="49"/>
        <v>0.17692307692307685</v>
      </c>
      <c r="R26" s="16">
        <f t="shared" si="50"/>
        <v>0.28205128205128205</v>
      </c>
      <c r="S26" s="14">
        <f t="shared" si="38"/>
        <v>0.28205128205128205</v>
      </c>
      <c r="T26" s="14" t="e">
        <f t="shared" si="62"/>
        <v>#N/A</v>
      </c>
      <c r="U26" s="22">
        <f t="shared" si="9"/>
        <v>32.098927254785181</v>
      </c>
      <c r="V26" s="22">
        <f t="shared" si="15"/>
        <v>32.098927254785181</v>
      </c>
      <c r="W26" s="22" t="str">
        <f t="shared" si="16"/>
        <v/>
      </c>
      <c r="X26" s="22">
        <f t="shared" si="51"/>
        <v>0.33294849579882596</v>
      </c>
      <c r="Y26" s="22">
        <f t="shared" si="17"/>
        <v>0.33294849579882596</v>
      </c>
      <c r="Z26" s="22" t="str">
        <f t="shared" si="18"/>
        <v/>
      </c>
      <c r="AA26" s="2">
        <f t="shared" si="66"/>
        <v>352.95</v>
      </c>
      <c r="AB26" s="25">
        <f t="shared" si="63"/>
        <v>14.631</v>
      </c>
      <c r="AC26" s="25" t="str">
        <f t="shared" si="64"/>
        <v/>
      </c>
      <c r="AD26" s="51">
        <f t="shared" si="21"/>
        <v>0</v>
      </c>
      <c r="AE26" s="51" t="str">
        <f t="shared" si="65"/>
        <v/>
      </c>
      <c r="AF26" s="51">
        <f t="shared" si="22"/>
        <v>0</v>
      </c>
      <c r="AG26" s="51" t="str">
        <f t="shared" si="23"/>
        <v/>
      </c>
      <c r="AH26" s="51">
        <f t="shared" si="13"/>
        <v>0.69763434909824973</v>
      </c>
      <c r="AI26" s="51" t="str">
        <f t="shared" si="14"/>
        <v/>
      </c>
      <c r="AJ26" s="55">
        <f t="shared" si="25"/>
        <v>0.76462016542338795</v>
      </c>
      <c r="AK26" s="55" t="str">
        <f t="shared" si="26"/>
        <v/>
      </c>
      <c r="AL26" s="55">
        <f t="shared" si="27"/>
        <v>1</v>
      </c>
      <c r="AM26" s="55" t="str">
        <f t="shared" si="28"/>
        <v/>
      </c>
      <c r="AN26" s="24"/>
      <c r="AO26" s="24"/>
      <c r="AP26" s="24"/>
      <c r="AQ26" s="24"/>
      <c r="AR26" s="24"/>
      <c r="AS26" s="42">
        <f t="shared" si="53"/>
        <v>0</v>
      </c>
      <c r="AT26" s="42">
        <f t="shared" si="54"/>
        <v>0</v>
      </c>
      <c r="AU26" s="42">
        <f t="shared" si="55"/>
        <v>1</v>
      </c>
      <c r="AV26" s="42">
        <f t="shared" si="56"/>
        <v>0</v>
      </c>
      <c r="AW26" s="24"/>
      <c r="AX26" s="24">
        <f t="shared" si="30"/>
        <v>32.5</v>
      </c>
      <c r="AY26" s="2" t="str">
        <f t="shared" si="31"/>
        <v/>
      </c>
      <c r="AZ26" s="24"/>
      <c r="BA26" s="42"/>
      <c r="BB26" s="42"/>
      <c r="BC26" s="24"/>
      <c r="BD26" s="24"/>
      <c r="BE26" s="25">
        <f t="shared" si="58"/>
        <v>32.999999999999972</v>
      </c>
      <c r="BF26" s="25">
        <f t="shared" si="39"/>
        <v>1.5043398806727351E-4</v>
      </c>
      <c r="BG26" s="25">
        <f t="shared" si="40"/>
        <v>3.7744722743831994E-3</v>
      </c>
      <c r="BI26" s="27">
        <f t="shared" si="34"/>
        <v>0.35000000000000003</v>
      </c>
      <c r="BJ26" s="27" t="str">
        <f t="shared" si="35"/>
        <v/>
      </c>
      <c r="BN26" s="46"/>
      <c r="BO26" s="24"/>
      <c r="BP26">
        <f t="shared" si="60"/>
        <v>0.40000000000000019</v>
      </c>
      <c r="BQ26" s="25">
        <f t="shared" si="43"/>
        <v>5.1711233366159013E-4</v>
      </c>
      <c r="BR26" s="25">
        <f t="shared" si="44"/>
        <v>3.168590235561572E-18</v>
      </c>
      <c r="BS26" s="25"/>
      <c r="BT26" s="25"/>
    </row>
    <row r="27" spans="1:79">
      <c r="A27" t="s">
        <v>28</v>
      </c>
      <c r="B27" s="7">
        <v>44950</v>
      </c>
      <c r="C27" t="s">
        <v>81</v>
      </c>
      <c r="D27">
        <v>5</v>
      </c>
      <c r="E27" t="s">
        <v>26</v>
      </c>
      <c r="F27" s="9">
        <v>0</v>
      </c>
      <c r="G27">
        <v>10</v>
      </c>
      <c r="H27">
        <v>10</v>
      </c>
      <c r="I27" s="61">
        <v>17.8</v>
      </c>
      <c r="J27" s="61">
        <v>12.4</v>
      </c>
      <c r="K27" s="61">
        <v>11.4</v>
      </c>
      <c r="L27" s="63">
        <f t="shared" si="45"/>
        <v>15.100000000000001</v>
      </c>
      <c r="M27" s="15">
        <f t="shared" si="36"/>
        <v>1</v>
      </c>
      <c r="N27" s="15">
        <f t="shared" si="46"/>
        <v>0.6966292134831461</v>
      </c>
      <c r="O27" s="15">
        <f t="shared" si="47"/>
        <v>0.6404494382022472</v>
      </c>
      <c r="P27" s="15">
        <f t="shared" si="48"/>
        <v>0.84831460674157311</v>
      </c>
      <c r="Q27" s="16">
        <f t="shared" si="49"/>
        <v>0.20786516853932591</v>
      </c>
      <c r="R27" s="16">
        <f t="shared" si="50"/>
        <v>0.3033707865168539</v>
      </c>
      <c r="S27" s="14">
        <f t="shared" si="38"/>
        <v>0.3033707865168539</v>
      </c>
      <c r="T27" s="14" t="e">
        <f t="shared" si="62"/>
        <v>#N/A</v>
      </c>
      <c r="U27" s="22">
        <f t="shared" si="9"/>
        <v>34.418364479056223</v>
      </c>
      <c r="V27" s="22">
        <f t="shared" si="15"/>
        <v>34.418364479056223</v>
      </c>
      <c r="W27" s="22" t="str">
        <f t="shared" si="16"/>
        <v/>
      </c>
      <c r="X27" s="22">
        <f t="shared" si="51"/>
        <v>0.36775231121467739</v>
      </c>
      <c r="Y27" s="22">
        <f t="shared" si="17"/>
        <v>0.36775231121467739</v>
      </c>
      <c r="Z27" s="22" t="str">
        <f t="shared" si="18"/>
        <v/>
      </c>
      <c r="AA27" s="2">
        <f t="shared" si="66"/>
        <v>293.04000000000008</v>
      </c>
      <c r="AB27" s="25">
        <f t="shared" si="63"/>
        <v>13.038</v>
      </c>
      <c r="AC27" s="25" t="str">
        <f t="shared" si="64"/>
        <v/>
      </c>
      <c r="AD27" s="51">
        <f t="shared" si="21"/>
        <v>0.12054494783026927</v>
      </c>
      <c r="AE27" s="51" t="str">
        <f t="shared" si="65"/>
        <v/>
      </c>
      <c r="AF27" s="51">
        <f t="shared" si="22"/>
        <v>0.10913355424236679</v>
      </c>
      <c r="AG27" s="51" t="str">
        <f t="shared" si="23"/>
        <v/>
      </c>
      <c r="AH27" s="51">
        <f t="shared" si="13"/>
        <v>0.53521327739588676</v>
      </c>
      <c r="AI27" s="51" t="str">
        <f t="shared" si="14"/>
        <v/>
      </c>
      <c r="AJ27" s="55">
        <f t="shared" si="25"/>
        <v>0.72474592269252314</v>
      </c>
      <c r="AK27" s="55" t="str">
        <f t="shared" si="26"/>
        <v/>
      </c>
      <c r="AL27" s="55">
        <f t="shared" si="27"/>
        <v>1</v>
      </c>
      <c r="AM27" s="55" t="str">
        <f t="shared" si="28"/>
        <v/>
      </c>
      <c r="AN27" s="24"/>
      <c r="AO27" s="24"/>
      <c r="AP27" s="24"/>
      <c r="AQ27" s="24"/>
      <c r="AR27" s="24"/>
      <c r="AS27" s="42">
        <f t="shared" si="53"/>
        <v>0</v>
      </c>
      <c r="AT27" s="42">
        <f t="shared" si="54"/>
        <v>1</v>
      </c>
      <c r="AU27" s="42">
        <f t="shared" si="55"/>
        <v>0</v>
      </c>
      <c r="AV27" s="42">
        <f t="shared" si="56"/>
        <v>0</v>
      </c>
      <c r="AW27" s="24"/>
      <c r="AX27" s="24">
        <f t="shared" si="30"/>
        <v>35</v>
      </c>
      <c r="AY27" s="2" t="str">
        <f t="shared" si="31"/>
        <v/>
      </c>
      <c r="AZ27" s="24"/>
      <c r="BA27" s="42"/>
      <c r="BB27" s="42"/>
      <c r="BC27" s="24"/>
      <c r="BD27" s="24"/>
      <c r="BE27" s="25">
        <f t="shared" si="58"/>
        <v>33.39999999999997</v>
      </c>
      <c r="BF27" s="25">
        <f t="shared" si="39"/>
        <v>3.4102830522541428E-4</v>
      </c>
      <c r="BG27" s="25">
        <f t="shared" si="40"/>
        <v>6.8260807988380686E-3</v>
      </c>
      <c r="BI27" s="27">
        <f t="shared" si="34"/>
        <v>0.35000000000000003</v>
      </c>
      <c r="BJ27" s="27" t="str">
        <f t="shared" si="35"/>
        <v/>
      </c>
      <c r="BN27" s="46"/>
      <c r="BO27" s="24"/>
      <c r="BP27">
        <f t="shared" si="60"/>
        <v>0.4100000000000002</v>
      </c>
      <c r="BQ27" s="25">
        <f t="shared" si="43"/>
        <v>2.0453502354687266E-3</v>
      </c>
      <c r="BR27" s="25">
        <f t="shared" si="44"/>
        <v>1.178639953147306E-16</v>
      </c>
      <c r="BS27" s="25"/>
      <c r="BT27" s="25"/>
    </row>
    <row r="28" spans="1:79">
      <c r="A28" t="s">
        <v>77</v>
      </c>
      <c r="B28" s="7">
        <v>44950</v>
      </c>
      <c r="C28" t="s">
        <v>81</v>
      </c>
      <c r="D28">
        <v>5</v>
      </c>
      <c r="E28" t="s">
        <v>17</v>
      </c>
      <c r="G28">
        <v>9</v>
      </c>
      <c r="H28">
        <v>9</v>
      </c>
      <c r="I28" s="61">
        <v>20.399999999999999</v>
      </c>
      <c r="J28" s="61">
        <v>12.8</v>
      </c>
      <c r="K28" s="61">
        <v>9.9</v>
      </c>
      <c r="L28" s="63">
        <f t="shared" si="45"/>
        <v>16.600000000000001</v>
      </c>
      <c r="M28" s="15">
        <f t="shared" si="36"/>
        <v>1</v>
      </c>
      <c r="N28" s="15">
        <f t="shared" si="46"/>
        <v>0.62745098039215697</v>
      </c>
      <c r="O28" s="15">
        <f t="shared" si="47"/>
        <v>0.48529411764705888</v>
      </c>
      <c r="P28" s="15">
        <f t="shared" si="48"/>
        <v>0.81372549019607854</v>
      </c>
      <c r="Q28" s="16">
        <f t="shared" si="49"/>
        <v>0.32843137254901966</v>
      </c>
      <c r="R28" s="16">
        <f t="shared" si="50"/>
        <v>0.37254901960784303</v>
      </c>
      <c r="S28" s="14">
        <f t="shared" si="38"/>
        <v>0.37254901960784303</v>
      </c>
      <c r="T28" s="14" t="e">
        <f t="shared" si="62"/>
        <v>#N/A</v>
      </c>
      <c r="U28" s="22">
        <f t="shared" si="9"/>
        <v>41.398721882776577</v>
      </c>
      <c r="V28" s="22">
        <f t="shared" si="15"/>
        <v>41.398721882776577</v>
      </c>
      <c r="W28" s="22" t="str">
        <f t="shared" si="16"/>
        <v/>
      </c>
      <c r="X28" s="22">
        <f t="shared" si="51"/>
        <v>0.49664870732258831</v>
      </c>
      <c r="Y28" s="22">
        <f t="shared" si="17"/>
        <v>0.49664870732258831</v>
      </c>
      <c r="Z28" s="22" t="str">
        <f t="shared" si="18"/>
        <v/>
      </c>
      <c r="AA28" s="2">
        <f t="shared" si="66"/>
        <v>393.46</v>
      </c>
      <c r="AB28" s="25">
        <f t="shared" si="63"/>
        <v>13.732999999999999</v>
      </c>
      <c r="AC28" s="25" t="str">
        <f t="shared" si="64"/>
        <v/>
      </c>
      <c r="AD28" s="51">
        <f t="shared" si="21"/>
        <v>0.48332554402965811</v>
      </c>
      <c r="AE28" s="51" t="str">
        <f t="shared" si="65"/>
        <v/>
      </c>
      <c r="AF28" s="51">
        <f t="shared" si="22"/>
        <v>0.51331113271215434</v>
      </c>
      <c r="AG28" s="51" t="str">
        <f t="shared" si="23"/>
        <v/>
      </c>
      <c r="AH28" s="51">
        <f t="shared" si="13"/>
        <v>8.559912277724431E-2</v>
      </c>
      <c r="AI28" s="51" t="str">
        <f t="shared" si="14"/>
        <v/>
      </c>
      <c r="AJ28" s="55">
        <f t="shared" si="25"/>
        <v>0.60474419876071417</v>
      </c>
      <c r="AK28" s="55" t="str">
        <f t="shared" si="26"/>
        <v/>
      </c>
      <c r="AL28" s="55">
        <f t="shared" si="27"/>
        <v>1</v>
      </c>
      <c r="AM28" s="55" t="str">
        <f t="shared" si="28"/>
        <v/>
      </c>
      <c r="AN28" s="24"/>
      <c r="AO28" s="24"/>
      <c r="AP28" s="24"/>
      <c r="AQ28" s="24"/>
      <c r="AR28" s="24"/>
      <c r="AS28" s="42">
        <f t="shared" si="53"/>
        <v>0</v>
      </c>
      <c r="AT28" s="42">
        <f t="shared" si="54"/>
        <v>1</v>
      </c>
      <c r="AU28" s="42">
        <f t="shared" si="55"/>
        <v>0</v>
      </c>
      <c r="AV28" s="42">
        <f t="shared" si="56"/>
        <v>0</v>
      </c>
      <c r="AW28" s="24"/>
      <c r="AX28" s="24">
        <f t="shared" si="30"/>
        <v>42.5</v>
      </c>
      <c r="AY28" s="2" t="str">
        <f t="shared" si="31"/>
        <v/>
      </c>
      <c r="AZ28" s="24"/>
      <c r="BA28" s="42"/>
      <c r="BB28" s="42"/>
      <c r="BC28" s="24"/>
      <c r="BD28" s="24"/>
      <c r="BE28" s="25">
        <f t="shared" si="58"/>
        <v>33.799999999999969</v>
      </c>
      <c r="BF28" s="25">
        <f t="shared" si="39"/>
        <v>7.4911640164861387E-4</v>
      </c>
      <c r="BG28" s="25">
        <f t="shared" si="40"/>
        <v>1.206440808411364E-2</v>
      </c>
      <c r="BI28" s="27">
        <f t="shared" si="34"/>
        <v>0.5</v>
      </c>
      <c r="BJ28" s="27" t="str">
        <f t="shared" si="35"/>
        <v/>
      </c>
      <c r="BP28">
        <f t="shared" si="60"/>
        <v>0.42000000000000021</v>
      </c>
      <c r="BQ28" s="25">
        <f t="shared" si="43"/>
        <v>7.3144857904246345E-3</v>
      </c>
      <c r="BR28" s="25">
        <f t="shared" si="44"/>
        <v>3.7425253930173919E-15</v>
      </c>
      <c r="BS28" s="25"/>
      <c r="BT28" s="25"/>
    </row>
    <row r="29" spans="1:79">
      <c r="A29" t="s">
        <v>78</v>
      </c>
      <c r="B29" s="7">
        <v>44950</v>
      </c>
      <c r="C29" t="s">
        <v>81</v>
      </c>
      <c r="D29">
        <v>5</v>
      </c>
      <c r="E29" t="s">
        <v>26</v>
      </c>
      <c r="F29" s="9">
        <v>2</v>
      </c>
      <c r="G29">
        <v>7</v>
      </c>
      <c r="H29">
        <v>7</v>
      </c>
      <c r="I29" s="61">
        <v>18.8</v>
      </c>
      <c r="J29" s="61">
        <v>13.3</v>
      </c>
      <c r="K29" s="61">
        <v>10.6</v>
      </c>
      <c r="L29" s="63">
        <f t="shared" si="45"/>
        <v>16.05</v>
      </c>
      <c r="M29" s="15">
        <f t="shared" si="36"/>
        <v>1</v>
      </c>
      <c r="N29" s="15">
        <f t="shared" si="46"/>
        <v>0.70744680851063835</v>
      </c>
      <c r="O29" s="15">
        <f t="shared" si="47"/>
        <v>0.56382978723404253</v>
      </c>
      <c r="P29" s="15">
        <f t="shared" si="48"/>
        <v>0.85372340425531912</v>
      </c>
      <c r="Q29" s="16">
        <f t="shared" si="49"/>
        <v>0.28989361702127658</v>
      </c>
      <c r="R29" s="16">
        <f t="shared" si="50"/>
        <v>0.29255319148936165</v>
      </c>
      <c r="S29" s="14">
        <f t="shared" si="38"/>
        <v>0.29255319148936165</v>
      </c>
      <c r="T29" s="14" t="e">
        <f t="shared" si="62"/>
        <v>#N/A</v>
      </c>
      <c r="U29" s="22">
        <f t="shared" si="9"/>
        <v>44.738377254305199</v>
      </c>
      <c r="V29" s="22">
        <f t="shared" si="15"/>
        <v>44.738377254305199</v>
      </c>
      <c r="W29" s="22" t="str">
        <f t="shared" si="16"/>
        <v/>
      </c>
      <c r="X29" s="22">
        <f t="shared" si="51"/>
        <v>0.41185638157043247</v>
      </c>
      <c r="Y29" s="22">
        <f t="shared" si="17"/>
        <v>0.41185638157043247</v>
      </c>
      <c r="Z29" s="22" t="str">
        <f t="shared" si="18"/>
        <v/>
      </c>
      <c r="AA29" s="2">
        <f t="shared" si="66"/>
        <v>329.54</v>
      </c>
      <c r="AB29" s="25">
        <f t="shared" si="63"/>
        <v>13.812000000000001</v>
      </c>
      <c r="AC29" s="25" t="str">
        <f t="shared" si="64"/>
        <v/>
      </c>
      <c r="AD29" s="51">
        <f t="shared" si="21"/>
        <v>0.65689289835135978</v>
      </c>
      <c r="AE29" s="51" t="str">
        <f t="shared" si="65"/>
        <v/>
      </c>
      <c r="AF29" s="51">
        <f t="shared" si="22"/>
        <v>0.24742971220574822</v>
      </c>
      <c r="AG29" s="51" t="str">
        <f t="shared" si="23"/>
        <v/>
      </c>
      <c r="AH29" s="51">
        <f t="shared" si="13"/>
        <v>0.23239146061768542</v>
      </c>
      <c r="AI29" s="51" t="str">
        <f t="shared" si="14"/>
        <v/>
      </c>
      <c r="AJ29" s="55">
        <f t="shared" si="25"/>
        <v>0.54733103511554571</v>
      </c>
      <c r="AK29" s="55" t="str">
        <f t="shared" si="26"/>
        <v/>
      </c>
      <c r="AL29" s="55">
        <f t="shared" si="27"/>
        <v>1</v>
      </c>
      <c r="AM29" s="55" t="str">
        <f t="shared" si="28"/>
        <v/>
      </c>
      <c r="AN29" s="24"/>
      <c r="AO29" s="24"/>
      <c r="AP29" s="24"/>
      <c r="AQ29" s="24"/>
      <c r="AR29" s="24"/>
      <c r="AS29" s="42">
        <f t="shared" si="53"/>
        <v>1</v>
      </c>
      <c r="AT29" s="42">
        <f t="shared" si="54"/>
        <v>0</v>
      </c>
      <c r="AU29" s="42">
        <f t="shared" si="55"/>
        <v>0</v>
      </c>
      <c r="AV29" s="42">
        <f t="shared" si="56"/>
        <v>0</v>
      </c>
      <c r="AW29" s="24"/>
      <c r="AX29" s="24">
        <f t="shared" si="30"/>
        <v>45</v>
      </c>
      <c r="AY29" s="2" t="str">
        <f t="shared" si="31"/>
        <v/>
      </c>
      <c r="AZ29" s="24"/>
      <c r="BA29" s="42"/>
      <c r="BB29" s="42"/>
      <c r="BC29" s="24"/>
      <c r="BD29" s="24"/>
      <c r="BE29" s="25">
        <f t="shared" si="58"/>
        <v>34.199999999999967</v>
      </c>
      <c r="BF29" s="25">
        <f t="shared" si="39"/>
        <v>1.5944929610789912E-3</v>
      </c>
      <c r="BG29" s="25">
        <f t="shared" si="40"/>
        <v>2.0838191396733059E-2</v>
      </c>
      <c r="BI29" s="27">
        <f t="shared" si="34"/>
        <v>0.4</v>
      </c>
      <c r="BJ29" s="27" t="str">
        <f t="shared" si="35"/>
        <v/>
      </c>
      <c r="BP29">
        <f t="shared" si="60"/>
        <v>0.43000000000000022</v>
      </c>
      <c r="BQ29" s="25">
        <f t="shared" si="43"/>
        <v>2.3650114224272788E-2</v>
      </c>
      <c r="BR29" s="25">
        <f t="shared" si="44"/>
        <v>1.0144178227925853E-13</v>
      </c>
      <c r="BS29" s="25"/>
      <c r="BT29" s="25"/>
      <c r="BV29" s="2"/>
    </row>
    <row r="30" spans="1:79">
      <c r="A30" t="s">
        <v>79</v>
      </c>
      <c r="B30" s="7">
        <v>44950</v>
      </c>
      <c r="C30" t="s">
        <v>81</v>
      </c>
      <c r="D30">
        <v>5</v>
      </c>
      <c r="E30" t="s">
        <v>26</v>
      </c>
      <c r="F30" s="9">
        <v>2</v>
      </c>
      <c r="G30">
        <v>9</v>
      </c>
      <c r="H30">
        <v>9</v>
      </c>
      <c r="I30" s="61">
        <v>22.6</v>
      </c>
      <c r="J30" s="61">
        <v>15.5</v>
      </c>
      <c r="K30" s="61">
        <v>12.2</v>
      </c>
      <c r="L30" s="63">
        <f t="shared" si="45"/>
        <v>19.05</v>
      </c>
      <c r="M30" s="15">
        <f t="shared" si="36"/>
        <v>1</v>
      </c>
      <c r="N30" s="15">
        <f t="shared" si="46"/>
        <v>0.68584070796460173</v>
      </c>
      <c r="O30" s="15">
        <f t="shared" si="47"/>
        <v>0.53982300884955747</v>
      </c>
      <c r="P30" s="15">
        <f t="shared" si="48"/>
        <v>0.84292035398230092</v>
      </c>
      <c r="Q30" s="16">
        <f t="shared" si="49"/>
        <v>0.30309734513274345</v>
      </c>
      <c r="R30" s="16">
        <f t="shared" si="50"/>
        <v>0.31415929203539827</v>
      </c>
      <c r="S30" s="14">
        <f t="shared" si="38"/>
        <v>0.31415929203539827</v>
      </c>
      <c r="T30" s="14" t="e">
        <f t="shared" si="62"/>
        <v>#N/A</v>
      </c>
      <c r="U30" s="22">
        <f t="shared" si="9"/>
        <v>43.973303819942124</v>
      </c>
      <c r="V30" s="22">
        <f t="shared" si="15"/>
        <v>43.973303819942124</v>
      </c>
      <c r="W30" s="22" t="str">
        <f t="shared" si="16"/>
        <v/>
      </c>
      <c r="X30" s="22">
        <f t="shared" si="51"/>
        <v>0.43653643765291811</v>
      </c>
      <c r="Y30" s="22">
        <f t="shared" si="17"/>
        <v>0.43653643765291811</v>
      </c>
      <c r="Z30" s="22" t="str">
        <f t="shared" si="18"/>
        <v/>
      </c>
      <c r="AA30" s="2">
        <f t="shared" si="66"/>
        <v>483.06000000000006</v>
      </c>
      <c r="AB30" s="25">
        <f t="shared" si="63"/>
        <v>16.224</v>
      </c>
      <c r="AC30" s="25" t="str">
        <f t="shared" si="64"/>
        <v/>
      </c>
      <c r="AD30" s="51">
        <f t="shared" si="21"/>
        <v>0.61713078008122357</v>
      </c>
      <c r="AE30" s="51" t="str">
        <f t="shared" si="65"/>
        <v/>
      </c>
      <c r="AF30" s="51">
        <f t="shared" si="22"/>
        <v>0.32481841821399465</v>
      </c>
      <c r="AG30" s="51" t="str">
        <f t="shared" si="23"/>
        <v/>
      </c>
      <c r="AH30" s="51">
        <f t="shared" si="13"/>
        <v>0.14573248168789971</v>
      </c>
      <c r="AI30" s="51" t="str">
        <f t="shared" si="14"/>
        <v/>
      </c>
      <c r="AJ30" s="55">
        <f t="shared" si="25"/>
        <v>0.56048367555327827</v>
      </c>
      <c r="AK30" s="55" t="str">
        <f t="shared" si="26"/>
        <v/>
      </c>
      <c r="AL30" s="55">
        <f t="shared" si="27"/>
        <v>1</v>
      </c>
      <c r="AM30" s="55" t="str">
        <f t="shared" si="28"/>
        <v/>
      </c>
      <c r="AN30" s="24"/>
      <c r="AO30" s="24"/>
      <c r="AP30" s="24"/>
      <c r="AQ30" s="24"/>
      <c r="AR30" s="24"/>
      <c r="AS30" s="42">
        <f t="shared" si="53"/>
        <v>0</v>
      </c>
      <c r="AT30" s="42">
        <f t="shared" si="54"/>
        <v>1</v>
      </c>
      <c r="AU30" s="42">
        <f t="shared" si="55"/>
        <v>0</v>
      </c>
      <c r="AV30" s="42">
        <f t="shared" si="56"/>
        <v>0</v>
      </c>
      <c r="AW30" s="24"/>
      <c r="AX30" s="24">
        <f t="shared" si="30"/>
        <v>45</v>
      </c>
      <c r="AY30" s="2" t="str">
        <f t="shared" si="31"/>
        <v/>
      </c>
      <c r="AZ30" s="24"/>
      <c r="BA30" s="42"/>
      <c r="BB30" s="42"/>
      <c r="BC30" s="24"/>
      <c r="BD30" s="24"/>
      <c r="BE30" s="25">
        <f t="shared" si="58"/>
        <v>34.599999999999966</v>
      </c>
      <c r="BF30" s="25">
        <f t="shared" si="39"/>
        <v>3.2885945157542836E-3</v>
      </c>
      <c r="BG30" s="25">
        <f t="shared" si="40"/>
        <v>3.5174945698799531E-2</v>
      </c>
      <c r="BI30" s="27">
        <f t="shared" si="34"/>
        <v>0.45</v>
      </c>
      <c r="BJ30" s="27" t="str">
        <f t="shared" si="35"/>
        <v/>
      </c>
      <c r="BP30">
        <f t="shared" si="60"/>
        <v>0.44000000000000022</v>
      </c>
      <c r="BQ30" s="25">
        <f t="shared" si="43"/>
        <v>6.9137872485273519E-2</v>
      </c>
      <c r="BR30" s="25">
        <f t="shared" si="44"/>
        <v>2.3471319445312753E-12</v>
      </c>
      <c r="BS30" s="25"/>
      <c r="BT30" s="25"/>
    </row>
    <row r="31" spans="1:79">
      <c r="A31" t="s">
        <v>29</v>
      </c>
      <c r="B31" s="7">
        <v>44950</v>
      </c>
      <c r="C31" t="s">
        <v>81</v>
      </c>
      <c r="D31">
        <v>5</v>
      </c>
      <c r="E31" t="s">
        <v>26</v>
      </c>
      <c r="F31" s="9">
        <v>0</v>
      </c>
      <c r="G31">
        <v>9</v>
      </c>
      <c r="H31">
        <v>10</v>
      </c>
      <c r="I31" s="61">
        <v>19.600000000000001</v>
      </c>
      <c r="J31" s="61">
        <v>12.5</v>
      </c>
      <c r="K31" s="61">
        <v>9.6</v>
      </c>
      <c r="L31" s="63">
        <f t="shared" ref="L31:L47" si="67">(I31+J31)/2</f>
        <v>16.05</v>
      </c>
      <c r="M31" s="15">
        <f t="shared" si="36"/>
        <v>1</v>
      </c>
      <c r="N31" s="15">
        <f t="shared" si="46"/>
        <v>0.63775510204081631</v>
      </c>
      <c r="O31" s="15">
        <f t="shared" si="47"/>
        <v>0.48979591836734687</v>
      </c>
      <c r="P31" s="15">
        <f t="shared" si="48"/>
        <v>0.81887755102040816</v>
      </c>
      <c r="Q31" s="16">
        <f t="shared" si="49"/>
        <v>0.32908163265306128</v>
      </c>
      <c r="R31" s="16">
        <f t="shared" si="50"/>
        <v>0.36224489795918369</v>
      </c>
      <c r="S31" s="14">
        <f t="shared" si="38"/>
        <v>0.36224489795918369</v>
      </c>
      <c r="T31" s="14" t="e">
        <f t="shared" si="62"/>
        <v>#N/A</v>
      </c>
      <c r="U31" s="22">
        <f t="shared" si="9"/>
        <v>42.253599322655781</v>
      </c>
      <c r="V31" s="22">
        <f t="shared" si="15"/>
        <v>42.253599322655781</v>
      </c>
      <c r="W31" s="22" t="str">
        <f t="shared" si="16"/>
        <v/>
      </c>
      <c r="X31" s="22">
        <f t="shared" si="51"/>
        <v>0.48940380775701348</v>
      </c>
      <c r="Y31" s="22">
        <f t="shared" si="17"/>
        <v>0.48940380775701348</v>
      </c>
      <c r="Z31" s="22" t="str">
        <f t="shared" si="18"/>
        <v/>
      </c>
      <c r="AA31" s="2">
        <f t="shared" si="66"/>
        <v>362.06000000000006</v>
      </c>
      <c r="AB31" s="25">
        <f t="shared" si="63"/>
        <v>13.342000000000001</v>
      </c>
      <c r="AC31" s="25" t="str">
        <f t="shared" si="64"/>
        <v/>
      </c>
      <c r="AD31" s="51">
        <f t="shared" si="21"/>
        <v>0.52775492341236585</v>
      </c>
      <c r="AE31" s="51" t="str">
        <f t="shared" si="65"/>
        <v/>
      </c>
      <c r="AF31" s="51">
        <f t="shared" si="22"/>
        <v>0.49059346138006094</v>
      </c>
      <c r="AG31" s="51" t="str">
        <f t="shared" si="23"/>
        <v/>
      </c>
      <c r="AH31" s="51">
        <f t="shared" si="13"/>
        <v>4.530158963251666E-2</v>
      </c>
      <c r="AI31" s="51" t="str">
        <f t="shared" si="14"/>
        <v/>
      </c>
      <c r="AJ31" s="55">
        <f t="shared" si="25"/>
        <v>0.59004770679008245</v>
      </c>
      <c r="AK31" s="55" t="str">
        <f t="shared" si="26"/>
        <v/>
      </c>
      <c r="AL31" s="55">
        <f t="shared" si="27"/>
        <v>1</v>
      </c>
      <c r="AM31" s="55" t="str">
        <f t="shared" si="28"/>
        <v/>
      </c>
      <c r="AN31" s="24"/>
      <c r="AO31" s="24"/>
      <c r="AP31" s="24"/>
      <c r="AQ31" s="24"/>
      <c r="AR31" s="24"/>
      <c r="AS31" s="42">
        <f t="shared" si="53"/>
        <v>0</v>
      </c>
      <c r="AT31" s="42">
        <f t="shared" si="54"/>
        <v>1</v>
      </c>
      <c r="AU31" s="42">
        <f t="shared" si="55"/>
        <v>0</v>
      </c>
      <c r="AV31" s="42">
        <f t="shared" si="56"/>
        <v>0</v>
      </c>
      <c r="AW31" s="24"/>
      <c r="AX31" s="24">
        <f t="shared" si="30"/>
        <v>42.5</v>
      </c>
      <c r="AY31" s="2" t="str">
        <f t="shared" si="31"/>
        <v/>
      </c>
      <c r="AZ31" s="24"/>
      <c r="BA31" s="42"/>
      <c r="BB31" s="42"/>
      <c r="BC31" s="24"/>
      <c r="BD31" s="24"/>
      <c r="BE31" s="25">
        <f t="shared" si="58"/>
        <v>34.999999999999964</v>
      </c>
      <c r="BF31" s="25">
        <f t="shared" si="39"/>
        <v>6.5722257307281422E-3</v>
      </c>
      <c r="BG31" s="25">
        <f t="shared" si="40"/>
        <v>5.8026484246177693E-2</v>
      </c>
      <c r="BI31" s="27">
        <f t="shared" si="34"/>
        <v>0.5</v>
      </c>
      <c r="BJ31" s="27" t="str">
        <f t="shared" si="35"/>
        <v/>
      </c>
      <c r="BP31">
        <f t="shared" si="60"/>
        <v>0.45000000000000023</v>
      </c>
      <c r="BQ31" s="25">
        <f t="shared" si="43"/>
        <v>0.18273936293505449</v>
      </c>
      <c r="BR31" s="25">
        <f t="shared" si="44"/>
        <v>4.6358209697309627E-11</v>
      </c>
      <c r="BS31" s="25"/>
      <c r="BT31" s="25"/>
    </row>
    <row r="32" spans="1:79">
      <c r="A32" s="5" t="s">
        <v>106</v>
      </c>
      <c r="B32" s="7">
        <v>44953</v>
      </c>
      <c r="C32" t="s">
        <v>81</v>
      </c>
      <c r="D32">
        <v>5</v>
      </c>
      <c r="E32" t="s">
        <v>26</v>
      </c>
      <c r="F32" s="9">
        <v>1</v>
      </c>
      <c r="G32">
        <v>10</v>
      </c>
      <c r="H32">
        <v>10</v>
      </c>
      <c r="I32" s="61">
        <v>24.9</v>
      </c>
      <c r="J32" s="61">
        <v>16.7</v>
      </c>
      <c r="K32" s="61">
        <v>12.3</v>
      </c>
      <c r="L32" s="63">
        <f t="shared" si="67"/>
        <v>20.799999999999997</v>
      </c>
      <c r="M32" s="15">
        <f t="shared" si="36"/>
        <v>1</v>
      </c>
      <c r="N32" s="15">
        <f t="shared" si="46"/>
        <v>0.67068273092369479</v>
      </c>
      <c r="O32" s="15">
        <f t="shared" si="47"/>
        <v>0.49397590361445787</v>
      </c>
      <c r="P32" s="15">
        <f t="shared" si="48"/>
        <v>0.83534136546184734</v>
      </c>
      <c r="Q32" s="16">
        <f t="shared" si="49"/>
        <v>0.34136546184738947</v>
      </c>
      <c r="R32" s="16">
        <f t="shared" si="50"/>
        <v>0.32931726907630521</v>
      </c>
      <c r="S32" s="14">
        <f t="shared" si="38"/>
        <v>0.32931726907630521</v>
      </c>
      <c r="T32" s="14" t="e">
        <f t="shared" si="62"/>
        <v>#N/A</v>
      </c>
      <c r="U32" s="22">
        <f t="shared" si="9"/>
        <v>46.029154804305968</v>
      </c>
      <c r="V32" s="22">
        <f t="shared" si="15"/>
        <v>46.029154804305968</v>
      </c>
      <c r="W32" s="22" t="str">
        <f t="shared" si="16"/>
        <v/>
      </c>
      <c r="X32" s="22">
        <f t="shared" si="51"/>
        <v>0.47432082207526705</v>
      </c>
      <c r="Y32" s="22">
        <f t="shared" si="17"/>
        <v>0.47432082207526705</v>
      </c>
      <c r="Z32" s="22" t="str">
        <f t="shared" si="18"/>
        <v/>
      </c>
      <c r="AA32" s="2">
        <f t="shared" si="66"/>
        <v>591.00999999999988</v>
      </c>
      <c r="AB32" s="25">
        <f t="shared" si="63"/>
        <v>17.531000000000002</v>
      </c>
      <c r="AC32" s="25" t="str">
        <f t="shared" si="64"/>
        <v/>
      </c>
      <c r="AD32" s="51">
        <f t="shared" si="21"/>
        <v>0.72397671971851352</v>
      </c>
      <c r="AE32" s="51" t="str">
        <f t="shared" si="65"/>
        <v/>
      </c>
      <c r="AF32" s="51">
        <f t="shared" si="22"/>
        <v>0.44329807676869393</v>
      </c>
      <c r="AG32" s="51" t="str">
        <f t="shared" si="23"/>
        <v/>
      </c>
      <c r="AH32" s="51">
        <f t="shared" si="13"/>
        <v>0.18764464005488463</v>
      </c>
      <c r="AI32" s="51" t="str">
        <f t="shared" si="14"/>
        <v/>
      </c>
      <c r="AJ32" s="55">
        <f t="shared" si="25"/>
        <v>0.52514083449200544</v>
      </c>
      <c r="AK32" s="55" t="str">
        <f t="shared" si="26"/>
        <v/>
      </c>
      <c r="AL32" s="55">
        <f t="shared" si="27"/>
        <v>1</v>
      </c>
      <c r="AM32" s="55" t="str">
        <f t="shared" si="28"/>
        <v/>
      </c>
      <c r="AN32" s="24"/>
      <c r="AO32" s="24"/>
      <c r="AP32" s="24"/>
      <c r="AQ32" s="24"/>
      <c r="AR32" s="24"/>
      <c r="AS32" s="42">
        <f t="shared" si="53"/>
        <v>0</v>
      </c>
      <c r="AT32" s="42">
        <f t="shared" si="54"/>
        <v>1</v>
      </c>
      <c r="AU32" s="42">
        <f t="shared" si="55"/>
        <v>0</v>
      </c>
      <c r="AV32" s="42">
        <f t="shared" si="56"/>
        <v>0</v>
      </c>
      <c r="AW32" s="24"/>
      <c r="AX32" s="24">
        <f t="shared" si="30"/>
        <v>45</v>
      </c>
      <c r="AY32" s="2" t="str">
        <f t="shared" si="31"/>
        <v/>
      </c>
      <c r="AZ32" s="24"/>
      <c r="BA32" s="42"/>
      <c r="BB32" s="42"/>
      <c r="BC32" s="24"/>
      <c r="BD32" s="24"/>
      <c r="BE32" s="25">
        <f t="shared" si="58"/>
        <v>35.399999999999963</v>
      </c>
      <c r="BF32" s="25">
        <f t="shared" si="39"/>
        <v>1.2727087674044808E-2</v>
      </c>
      <c r="BG32" s="25">
        <f t="shared" si="40"/>
        <v>9.3548857876104341E-2</v>
      </c>
      <c r="BI32" s="27">
        <f t="shared" si="34"/>
        <v>0.45</v>
      </c>
      <c r="BJ32" s="27" t="str">
        <f t="shared" si="35"/>
        <v/>
      </c>
      <c r="BP32">
        <f t="shared" si="60"/>
        <v>0.46000000000000024</v>
      </c>
      <c r="BQ32" s="25">
        <f t="shared" si="43"/>
        <v>0.43669832728407731</v>
      </c>
      <c r="BR32" s="25">
        <f t="shared" si="44"/>
        <v>7.8159959402907858E-10</v>
      </c>
      <c r="BS32" s="25"/>
      <c r="BT32" s="25"/>
    </row>
    <row r="33" spans="1:74">
      <c r="A33" t="s">
        <v>143</v>
      </c>
      <c r="B33" s="7">
        <v>44953</v>
      </c>
      <c r="C33" t="s">
        <v>81</v>
      </c>
      <c r="D33">
        <v>6</v>
      </c>
      <c r="E33" t="s">
        <v>26</v>
      </c>
      <c r="F33" s="9">
        <v>0</v>
      </c>
      <c r="I33" s="61">
        <v>23.3</v>
      </c>
      <c r="J33" s="61">
        <v>14.5</v>
      </c>
      <c r="K33" s="61">
        <v>10.6</v>
      </c>
      <c r="L33" s="63">
        <f t="shared" si="67"/>
        <v>18.899999999999999</v>
      </c>
      <c r="M33" s="15">
        <f t="shared" si="36"/>
        <v>1</v>
      </c>
      <c r="N33" s="15">
        <f t="shared" si="46"/>
        <v>0.62231759656652363</v>
      </c>
      <c r="O33" s="15">
        <f t="shared" si="47"/>
        <v>0.45493562231759654</v>
      </c>
      <c r="P33" s="15">
        <f t="shared" si="48"/>
        <v>0.81115879828326176</v>
      </c>
      <c r="Q33" s="16">
        <f t="shared" si="49"/>
        <v>0.35622317596566522</v>
      </c>
      <c r="R33" s="16">
        <f t="shared" si="50"/>
        <v>0.37768240343347637</v>
      </c>
      <c r="S33" s="14" t="e">
        <f t="shared" si="38"/>
        <v>#N/A</v>
      </c>
      <c r="T33" s="14">
        <f t="shared" si="62"/>
        <v>0.37768240343347637</v>
      </c>
      <c r="U33" s="22">
        <f t="shared" si="9"/>
        <v>43.325162009470787</v>
      </c>
      <c r="V33" s="22" t="str">
        <f t="shared" si="15"/>
        <v/>
      </c>
      <c r="W33" s="22">
        <f t="shared" si="16"/>
        <v>43.325162009470787</v>
      </c>
      <c r="X33" s="22">
        <f t="shared" si="51"/>
        <v>0.51917140614478419</v>
      </c>
      <c r="Y33" s="22" t="str">
        <f t="shared" si="17"/>
        <v/>
      </c>
      <c r="Z33" s="22">
        <f t="shared" si="18"/>
        <v>0.51917140614478419</v>
      </c>
      <c r="AA33" s="2">
        <f t="shared" si="66"/>
        <v>517.79</v>
      </c>
      <c r="AB33" s="25" t="str">
        <f t="shared" si="63"/>
        <v/>
      </c>
      <c r="AC33" s="25">
        <f t="shared" si="64"/>
        <v>15.552</v>
      </c>
      <c r="AD33" s="51" t="str">
        <f t="shared" si="21"/>
        <v/>
      </c>
      <c r="AE33" s="51">
        <f t="shared" si="65"/>
        <v>0.58344578963944149</v>
      </c>
      <c r="AF33" s="51" t="str">
        <f t="shared" si="22"/>
        <v/>
      </c>
      <c r="AG33" s="51">
        <f t="shared" si="23"/>
        <v>0.58393506127365091</v>
      </c>
      <c r="AH33" s="51" t="str">
        <f t="shared" si="13"/>
        <v/>
      </c>
      <c r="AI33" s="51">
        <f t="shared" si="14"/>
        <v>0.12227226147108473</v>
      </c>
      <c r="AJ33" s="55" t="str">
        <f t="shared" si="25"/>
        <v/>
      </c>
      <c r="AK33" s="55">
        <f t="shared" si="26"/>
        <v>0.57162610424430638</v>
      </c>
      <c r="AL33" s="55" t="str">
        <f t="shared" si="27"/>
        <v/>
      </c>
      <c r="AM33" s="55">
        <f t="shared" si="28"/>
        <v>1</v>
      </c>
      <c r="AN33" s="24"/>
      <c r="AO33" s="24"/>
      <c r="AP33" s="24"/>
      <c r="AQ33" s="24"/>
      <c r="AR33" s="24"/>
      <c r="AS33" s="42">
        <f t="shared" si="53"/>
        <v>0</v>
      </c>
      <c r="AT33" s="42">
        <f t="shared" si="54"/>
        <v>1</v>
      </c>
      <c r="AU33" s="42">
        <f t="shared" si="55"/>
        <v>0</v>
      </c>
      <c r="AV33" s="42">
        <f t="shared" si="56"/>
        <v>0</v>
      </c>
      <c r="AW33" s="24"/>
      <c r="AX33" s="24" t="str">
        <f t="shared" si="30"/>
        <v/>
      </c>
      <c r="AY33" s="2">
        <f t="shared" si="31"/>
        <v>42.5</v>
      </c>
      <c r="AZ33" s="24"/>
      <c r="BA33" s="42"/>
      <c r="BB33" s="42"/>
      <c r="BC33" s="24"/>
      <c r="BD33" s="24"/>
      <c r="BE33" s="25">
        <f t="shared" si="58"/>
        <v>35.799999999999962</v>
      </c>
      <c r="BF33" s="25">
        <f t="shared" si="39"/>
        <v>2.3881413135196664E-2</v>
      </c>
      <c r="BG33" s="25">
        <f t="shared" si="40"/>
        <v>0.14739071668054515</v>
      </c>
      <c r="BI33" s="27" t="str">
        <f t="shared" si="34"/>
        <v/>
      </c>
      <c r="BJ33" s="27">
        <f t="shared" si="35"/>
        <v>0.5</v>
      </c>
      <c r="BP33">
        <f t="shared" si="60"/>
        <v>0.47000000000000025</v>
      </c>
      <c r="BQ33" s="25">
        <f t="shared" si="43"/>
        <v>0.94354860503232418</v>
      </c>
      <c r="BR33" s="25">
        <f t="shared" si="44"/>
        <v>1.1248911829020721E-8</v>
      </c>
      <c r="BS33" s="25"/>
      <c r="BT33" s="25"/>
    </row>
    <row r="34" spans="1:74">
      <c r="A34" t="s">
        <v>144</v>
      </c>
      <c r="B34" s="7">
        <v>44953</v>
      </c>
      <c r="C34" t="s">
        <v>81</v>
      </c>
      <c r="D34">
        <v>5</v>
      </c>
      <c r="E34" t="s">
        <v>17</v>
      </c>
      <c r="G34">
        <v>8</v>
      </c>
      <c r="H34">
        <v>8</v>
      </c>
      <c r="I34" s="61">
        <v>28.3</v>
      </c>
      <c r="J34" s="61">
        <v>16.8</v>
      </c>
      <c r="K34" s="61">
        <v>13</v>
      </c>
      <c r="L34" s="63">
        <f t="shared" si="67"/>
        <v>22.55</v>
      </c>
      <c r="M34" s="15">
        <f t="shared" si="36"/>
        <v>1</v>
      </c>
      <c r="N34" s="15">
        <f t="shared" si="46"/>
        <v>0.59363957597173145</v>
      </c>
      <c r="O34" s="15">
        <f t="shared" si="47"/>
        <v>0.45936395759717313</v>
      </c>
      <c r="P34" s="15">
        <f t="shared" si="48"/>
        <v>0.79681978798586572</v>
      </c>
      <c r="Q34" s="16">
        <f t="shared" si="49"/>
        <v>0.33745583038869259</v>
      </c>
      <c r="R34" s="16">
        <f t="shared" si="50"/>
        <v>0.40636042402826855</v>
      </c>
      <c r="S34" s="14">
        <f t="shared" si="38"/>
        <v>0.40636042402826855</v>
      </c>
      <c r="T34" s="14" t="e">
        <f t="shared" si="62"/>
        <v>#N/A</v>
      </c>
      <c r="U34" s="22">
        <f t="shared" ref="U34:U60" si="68">SIGN(Q34)*ACOS(R34/X34)*(180/PI())</f>
        <v>39.707419959988016</v>
      </c>
      <c r="V34" s="22">
        <f t="shared" si="15"/>
        <v>39.707419959988016</v>
      </c>
      <c r="W34" s="22" t="str">
        <f t="shared" si="16"/>
        <v/>
      </c>
      <c r="X34" s="22">
        <f t="shared" si="51"/>
        <v>0.52820945815060549</v>
      </c>
      <c r="Y34" s="22">
        <f t="shared" si="17"/>
        <v>0.52820945815060549</v>
      </c>
      <c r="Z34" s="22" t="str">
        <f t="shared" si="18"/>
        <v/>
      </c>
      <c r="AA34" s="2">
        <f t="shared" si="66"/>
        <v>771.09</v>
      </c>
      <c r="AB34" s="25">
        <f t="shared" si="63"/>
        <v>18.330000000000002</v>
      </c>
      <c r="AC34" s="25" t="str">
        <f t="shared" si="64"/>
        <v/>
      </c>
      <c r="AD34" s="51">
        <f t="shared" si="21"/>
        <v>0.39542581563245754</v>
      </c>
      <c r="AE34" s="51" t="str">
        <f t="shared" si="65"/>
        <v/>
      </c>
      <c r="AF34" s="51">
        <f t="shared" si="22"/>
        <v>0.61227548105341445</v>
      </c>
      <c r="AG34" s="51" t="str">
        <f t="shared" si="23"/>
        <v/>
      </c>
      <c r="AH34" s="51">
        <f t="shared" ref="AH34:AH60" si="69">IF(D34=5,SQRT((AD34-$AO$9)^2+(AF34-$AO$10)^2),"")</f>
        <v>0.21787548750207442</v>
      </c>
      <c r="AI34" s="51" t="str">
        <f t="shared" ref="AI34:AI60" si="70">IF(D34=6,SQRT((AE34-$AP$9)^2+(AG34-$AP$10)^2),"")</f>
        <v/>
      </c>
      <c r="AJ34" s="55">
        <f t="shared" si="25"/>
        <v>0.63381995157469451</v>
      </c>
      <c r="AK34" s="55" t="str">
        <f t="shared" si="26"/>
        <v/>
      </c>
      <c r="AL34" s="55">
        <f t="shared" si="27"/>
        <v>1</v>
      </c>
      <c r="AM34" s="55" t="str">
        <f t="shared" si="28"/>
        <v/>
      </c>
      <c r="AN34" s="24"/>
      <c r="AO34" s="24"/>
      <c r="AP34" s="24"/>
      <c r="AQ34" s="24"/>
      <c r="AR34" s="24"/>
      <c r="AS34" s="42">
        <f t="shared" si="53"/>
        <v>0</v>
      </c>
      <c r="AT34" s="42">
        <f t="shared" si="54"/>
        <v>0</v>
      </c>
      <c r="AU34" s="42">
        <f t="shared" si="55"/>
        <v>0</v>
      </c>
      <c r="AV34" s="42">
        <f t="shared" si="56"/>
        <v>1</v>
      </c>
      <c r="AW34" s="24"/>
      <c r="AX34" s="24">
        <f t="shared" si="30"/>
        <v>40</v>
      </c>
      <c r="AY34" s="2" t="str">
        <f t="shared" si="31"/>
        <v/>
      </c>
      <c r="AZ34" s="24"/>
      <c r="BA34" s="42"/>
      <c r="BB34" s="42"/>
      <c r="BC34" s="24"/>
      <c r="BD34" s="24"/>
      <c r="BE34" s="25">
        <f t="shared" si="58"/>
        <v>36.19999999999996</v>
      </c>
      <c r="BF34" s="25">
        <f t="shared" si="39"/>
        <v>4.3421560669554764E-2</v>
      </c>
      <c r="BG34" s="25">
        <f t="shared" si="40"/>
        <v>0.22694529366477398</v>
      </c>
      <c r="BH34" s="5"/>
      <c r="BI34" s="27">
        <f t="shared" si="34"/>
        <v>0.55000000000000004</v>
      </c>
      <c r="BJ34" s="27" t="str">
        <f t="shared" si="35"/>
        <v/>
      </c>
      <c r="BK34" s="5"/>
      <c r="BL34" s="5"/>
      <c r="BM34" s="5"/>
      <c r="BN34" s="23"/>
      <c r="BO34" s="23"/>
      <c r="BP34">
        <f t="shared" si="60"/>
        <v>0.48000000000000026</v>
      </c>
      <c r="BQ34" s="25">
        <f t="shared" si="43"/>
        <v>1.843233487451355</v>
      </c>
      <c r="BR34" s="25">
        <f t="shared" si="44"/>
        <v>1.3819910114868163E-7</v>
      </c>
      <c r="BS34" s="25"/>
      <c r="BT34" s="25"/>
      <c r="BU34" s="5"/>
      <c r="BV34" s="5"/>
    </row>
    <row r="35" spans="1:74">
      <c r="A35" t="s">
        <v>145</v>
      </c>
      <c r="B35" s="7">
        <v>44953</v>
      </c>
      <c r="C35" t="s">
        <v>81</v>
      </c>
      <c r="D35">
        <v>6</v>
      </c>
      <c r="E35" t="s">
        <v>26</v>
      </c>
      <c r="F35" s="9">
        <v>0</v>
      </c>
      <c r="I35" s="61">
        <v>24.1</v>
      </c>
      <c r="J35" s="61">
        <v>12.4</v>
      </c>
      <c r="K35" s="61">
        <v>8.9</v>
      </c>
      <c r="L35" s="63">
        <f t="shared" si="67"/>
        <v>18.25</v>
      </c>
      <c r="M35" s="15">
        <f t="shared" si="36"/>
        <v>1</v>
      </c>
      <c r="N35" s="15">
        <f t="shared" si="46"/>
        <v>0.51452282157676343</v>
      </c>
      <c r="O35" s="15">
        <f t="shared" si="47"/>
        <v>0.36929460580912865</v>
      </c>
      <c r="P35" s="15">
        <f t="shared" si="48"/>
        <v>0.75726141078838172</v>
      </c>
      <c r="Q35" s="16">
        <f t="shared" si="49"/>
        <v>0.38796680497925307</v>
      </c>
      <c r="R35" s="16">
        <f t="shared" si="50"/>
        <v>0.48547717842323657</v>
      </c>
      <c r="S35" s="14" t="e">
        <f t="shared" si="38"/>
        <v>#N/A</v>
      </c>
      <c r="T35" s="14">
        <f t="shared" si="62"/>
        <v>0.48547717842323657</v>
      </c>
      <c r="U35" s="22">
        <f t="shared" si="68"/>
        <v>38.629935587603399</v>
      </c>
      <c r="V35" s="22" t="str">
        <f t="shared" si="15"/>
        <v/>
      </c>
      <c r="W35" s="22">
        <f t="shared" si="16"/>
        <v>38.629935587603399</v>
      </c>
      <c r="X35" s="22">
        <f t="shared" si="51"/>
        <v>0.62145501247925972</v>
      </c>
      <c r="Y35" s="22" t="str">
        <f t="shared" si="17"/>
        <v/>
      </c>
      <c r="Z35" s="22">
        <f t="shared" si="18"/>
        <v>0.62145501247925972</v>
      </c>
      <c r="AA35" s="2">
        <f t="shared" si="66"/>
        <v>559.5100000000001</v>
      </c>
      <c r="AB35" s="25" t="str">
        <f t="shared" si="63"/>
        <v/>
      </c>
      <c r="AC35" s="25">
        <f t="shared" si="64"/>
        <v>14.122999999999999</v>
      </c>
      <c r="AD35" s="51" t="str">
        <f t="shared" si="21"/>
        <v/>
      </c>
      <c r="AE35" s="51">
        <f t="shared" si="65"/>
        <v>0.33942718971670127</v>
      </c>
      <c r="AF35" s="51" t="str">
        <f t="shared" si="22"/>
        <v/>
      </c>
      <c r="AG35" s="51">
        <f t="shared" si="23"/>
        <v>0.9046635034468149</v>
      </c>
      <c r="AH35" s="51" t="str">
        <f t="shared" si="69"/>
        <v/>
      </c>
      <c r="AI35" s="51">
        <f t="shared" si="70"/>
        <v>0.34740873214070939</v>
      </c>
      <c r="AJ35" s="55" t="str">
        <f t="shared" si="25"/>
        <v/>
      </c>
      <c r="AK35" s="55">
        <f t="shared" si="26"/>
        <v>0.65234335585293735</v>
      </c>
      <c r="AL35" s="55" t="str">
        <f t="shared" si="27"/>
        <v/>
      </c>
      <c r="AM35" s="55">
        <f t="shared" si="28"/>
        <v>1</v>
      </c>
      <c r="AN35" s="24"/>
      <c r="AO35" s="24"/>
      <c r="AP35" s="24"/>
      <c r="AQ35" s="24"/>
      <c r="AR35" s="24"/>
      <c r="AS35" s="42">
        <f t="shared" si="53"/>
        <v>1</v>
      </c>
      <c r="AT35" s="42">
        <f t="shared" si="54"/>
        <v>0</v>
      </c>
      <c r="AU35" s="42">
        <f t="shared" si="55"/>
        <v>0</v>
      </c>
      <c r="AV35" s="42">
        <f t="shared" si="56"/>
        <v>0</v>
      </c>
      <c r="AW35" s="24"/>
      <c r="AX35" s="24" t="str">
        <f t="shared" si="30"/>
        <v/>
      </c>
      <c r="AY35" s="2">
        <f t="shared" si="31"/>
        <v>37.5</v>
      </c>
      <c r="AZ35" s="24"/>
      <c r="BA35" s="42"/>
      <c r="BB35" s="42"/>
      <c r="BC35" s="24"/>
      <c r="BD35" s="24"/>
      <c r="BE35" s="25">
        <f t="shared" si="58"/>
        <v>36.599999999999959</v>
      </c>
      <c r="BF35" s="25">
        <f t="shared" si="39"/>
        <v>7.6500673295780322E-2</v>
      </c>
      <c r="BG35" s="25">
        <f t="shared" si="40"/>
        <v>0.34150073323142177</v>
      </c>
      <c r="BH35" s="5"/>
      <c r="BI35" s="27" t="str">
        <f t="shared" si="34"/>
        <v/>
      </c>
      <c r="BJ35" s="27">
        <f t="shared" si="35"/>
        <v>0.60000000000000009</v>
      </c>
      <c r="BK35" s="5"/>
      <c r="BL35" s="5"/>
      <c r="BM35" s="5"/>
      <c r="BN35" s="23"/>
      <c r="BO35" s="23"/>
      <c r="BP35">
        <f t="shared" si="60"/>
        <v>0.49000000000000027</v>
      </c>
      <c r="BQ35" s="25">
        <f t="shared" si="43"/>
        <v>3.2555903587297621</v>
      </c>
      <c r="BR35" s="25">
        <f t="shared" si="44"/>
        <v>1.4493338721144499E-6</v>
      </c>
      <c r="BS35" s="25"/>
      <c r="BT35" s="25"/>
      <c r="BU35" s="5"/>
      <c r="BV35" s="5"/>
    </row>
    <row r="36" spans="1:74">
      <c r="A36" t="s">
        <v>107</v>
      </c>
      <c r="B36" s="7">
        <v>44953</v>
      </c>
      <c r="C36" t="s">
        <v>81</v>
      </c>
      <c r="D36">
        <v>5</v>
      </c>
      <c r="E36" t="s">
        <v>17</v>
      </c>
      <c r="G36">
        <v>10</v>
      </c>
      <c r="H36">
        <v>10</v>
      </c>
      <c r="I36" s="61">
        <v>23.8</v>
      </c>
      <c r="J36" s="61">
        <v>14.4</v>
      </c>
      <c r="K36" s="61">
        <v>10</v>
      </c>
      <c r="L36" s="63">
        <f t="shared" si="67"/>
        <v>19.100000000000001</v>
      </c>
      <c r="M36" s="15">
        <f t="shared" si="36"/>
        <v>1</v>
      </c>
      <c r="N36" s="15">
        <f t="shared" si="46"/>
        <v>0.60504201680672265</v>
      </c>
      <c r="O36" s="15">
        <f t="shared" si="47"/>
        <v>0.42016806722689076</v>
      </c>
      <c r="P36" s="15">
        <f t="shared" si="48"/>
        <v>0.80252100840336138</v>
      </c>
      <c r="Q36" s="16">
        <f t="shared" si="49"/>
        <v>0.38235294117647062</v>
      </c>
      <c r="R36" s="16">
        <f t="shared" si="50"/>
        <v>0.39495798319327735</v>
      </c>
      <c r="S36" s="14">
        <f t="shared" si="38"/>
        <v>0.39495798319327735</v>
      </c>
      <c r="T36" s="14" t="e">
        <f t="shared" si="62"/>
        <v>#N/A</v>
      </c>
      <c r="U36" s="22">
        <f t="shared" si="68"/>
        <v>44.07096068057794</v>
      </c>
      <c r="V36" s="22">
        <f t="shared" si="15"/>
        <v>44.07096068057794</v>
      </c>
      <c r="W36" s="22" t="str">
        <f t="shared" si="16"/>
        <v/>
      </c>
      <c r="X36" s="22">
        <f t="shared" si="51"/>
        <v>0.54971408942685718</v>
      </c>
      <c r="Y36" s="22">
        <f t="shared" si="17"/>
        <v>0.54971408942685718</v>
      </c>
      <c r="Z36" s="22" t="str">
        <f t="shared" si="18"/>
        <v/>
      </c>
      <c r="AA36" s="2">
        <f t="shared" si="66"/>
        <v>542.04000000000008</v>
      </c>
      <c r="AB36" s="25">
        <f t="shared" si="63"/>
        <v>15.54</v>
      </c>
      <c r="AC36" s="25" t="str">
        <f t="shared" si="64"/>
        <v/>
      </c>
      <c r="AD36" s="51">
        <f t="shared" si="21"/>
        <v>0.62220616692395736</v>
      </c>
      <c r="AE36" s="51" t="str">
        <f t="shared" si="65"/>
        <v/>
      </c>
      <c r="AF36" s="51">
        <f t="shared" si="22"/>
        <v>0.67970707772772687</v>
      </c>
      <c r="AG36" s="51" t="str">
        <f t="shared" si="23"/>
        <v/>
      </c>
      <c r="AH36" s="51">
        <f t="shared" si="69"/>
        <v>0.24886909421152342</v>
      </c>
      <c r="AI36" s="51" t="str">
        <f t="shared" si="70"/>
        <v/>
      </c>
      <c r="AJ36" s="55">
        <f t="shared" si="25"/>
        <v>0.55880482288825273</v>
      </c>
      <c r="AK36" s="55" t="str">
        <f t="shared" si="26"/>
        <v/>
      </c>
      <c r="AL36" s="55" t="str">
        <f t="shared" si="27"/>
        <v/>
      </c>
      <c r="AM36" s="55" t="str">
        <f t="shared" si="28"/>
        <v/>
      </c>
      <c r="AN36" s="24"/>
      <c r="AO36" s="24"/>
      <c r="AP36" s="24"/>
      <c r="AQ36" s="24"/>
      <c r="AR36" s="24"/>
      <c r="AS36" s="42">
        <f t="shared" si="53"/>
        <v>0</v>
      </c>
      <c r="AT36" s="42">
        <f t="shared" si="54"/>
        <v>0</v>
      </c>
      <c r="AU36" s="42">
        <f t="shared" si="55"/>
        <v>0</v>
      </c>
      <c r="AV36" s="42">
        <f t="shared" si="56"/>
        <v>1</v>
      </c>
      <c r="AW36" s="24"/>
      <c r="AX36" s="24">
        <f t="shared" si="30"/>
        <v>45</v>
      </c>
      <c r="AY36" s="2" t="str">
        <f t="shared" si="31"/>
        <v/>
      </c>
      <c r="AZ36" s="24"/>
      <c r="BA36" s="42"/>
      <c r="BB36" s="42"/>
      <c r="BC36" s="24"/>
      <c r="BD36" s="24"/>
      <c r="BE36" s="25">
        <f t="shared" si="58"/>
        <v>36.999999999999957</v>
      </c>
      <c r="BF36" s="25">
        <f t="shared" si="39"/>
        <v>0.13059889649726791</v>
      </c>
      <c r="BG36" s="25">
        <f t="shared" si="40"/>
        <v>0.50220555174704862</v>
      </c>
      <c r="BI36" s="27">
        <f t="shared" si="34"/>
        <v>0.55000000000000004</v>
      </c>
      <c r="BJ36" s="27" t="str">
        <f t="shared" si="35"/>
        <v/>
      </c>
      <c r="BP36">
        <f t="shared" si="60"/>
        <v>0.50000000000000022</v>
      </c>
      <c r="BQ36" s="25">
        <f t="shared" si="43"/>
        <v>5.198912186826206</v>
      </c>
      <c r="BR36" s="25">
        <f t="shared" si="44"/>
        <v>1.2974785416169617E-5</v>
      </c>
      <c r="BS36" s="25"/>
      <c r="BT36" s="25"/>
    </row>
    <row r="37" spans="1:74">
      <c r="A37" t="s">
        <v>146</v>
      </c>
      <c r="B37" s="7">
        <v>44953</v>
      </c>
      <c r="C37" t="s">
        <v>81</v>
      </c>
      <c r="D37">
        <v>5</v>
      </c>
      <c r="E37" t="s">
        <v>26</v>
      </c>
      <c r="F37" s="9">
        <v>0</v>
      </c>
      <c r="G37">
        <v>9</v>
      </c>
      <c r="H37">
        <v>9</v>
      </c>
      <c r="I37" s="61">
        <v>23.4</v>
      </c>
      <c r="J37" s="61">
        <v>16</v>
      </c>
      <c r="K37" s="61">
        <v>13.1</v>
      </c>
      <c r="L37" s="63">
        <f t="shared" si="67"/>
        <v>19.7</v>
      </c>
      <c r="M37" s="15">
        <f t="shared" si="36"/>
        <v>1</v>
      </c>
      <c r="N37" s="15">
        <f t="shared" si="46"/>
        <v>0.68376068376068377</v>
      </c>
      <c r="O37" s="15">
        <f t="shared" si="47"/>
        <v>0.55982905982905984</v>
      </c>
      <c r="P37" s="15">
        <f t="shared" si="48"/>
        <v>0.84188034188034189</v>
      </c>
      <c r="Q37" s="16">
        <f t="shared" si="49"/>
        <v>0.28205128205128205</v>
      </c>
      <c r="R37" s="16">
        <f t="shared" si="50"/>
        <v>0.31623931623931623</v>
      </c>
      <c r="S37" s="14">
        <f t="shared" si="38"/>
        <v>0.31623931623931623</v>
      </c>
      <c r="T37" s="14" t="e">
        <f t="shared" si="62"/>
        <v>#N/A</v>
      </c>
      <c r="U37" s="22">
        <f t="shared" si="68"/>
        <v>41.729512076816427</v>
      </c>
      <c r="V37" s="22">
        <f t="shared" si="15"/>
        <v>41.729512076816427</v>
      </c>
      <c r="W37" s="22" t="str">
        <f t="shared" si="16"/>
        <v/>
      </c>
      <c r="X37" s="22">
        <f t="shared" si="51"/>
        <v>0.42374547884583041</v>
      </c>
      <c r="Y37" s="22">
        <f t="shared" si="17"/>
        <v>0.42374547884583041</v>
      </c>
      <c r="Z37" s="22" t="str">
        <f t="shared" si="18"/>
        <v/>
      </c>
      <c r="AA37" s="2">
        <f t="shared" si="66"/>
        <v>518.45999999999992</v>
      </c>
      <c r="AB37" s="25">
        <f t="shared" si="63"/>
        <v>16.797000000000001</v>
      </c>
      <c r="AC37" s="25" t="str">
        <f t="shared" si="64"/>
        <v/>
      </c>
      <c r="AD37" s="51">
        <f t="shared" si="21"/>
        <v>0.50051725168444505</v>
      </c>
      <c r="AE37" s="51" t="str">
        <f t="shared" si="65"/>
        <v/>
      </c>
      <c r="AF37" s="51">
        <f t="shared" si="22"/>
        <v>0.28471009158066207</v>
      </c>
      <c r="AG37" s="51" t="str">
        <f t="shared" si="23"/>
        <v/>
      </c>
      <c r="AH37" s="51">
        <f t="shared" si="69"/>
        <v>0.16533563446264679</v>
      </c>
      <c r="AI37" s="51" t="str">
        <f t="shared" si="70"/>
        <v/>
      </c>
      <c r="AJ37" s="55">
        <f t="shared" si="25"/>
        <v>0.59905747081131677</v>
      </c>
      <c r="AK37" s="55" t="str">
        <f t="shared" si="26"/>
        <v/>
      </c>
      <c r="AL37" s="55">
        <f t="shared" si="27"/>
        <v>1</v>
      </c>
      <c r="AM37" s="55" t="str">
        <f t="shared" si="28"/>
        <v/>
      </c>
      <c r="AN37" s="24"/>
      <c r="AO37" s="24"/>
      <c r="AP37" s="24"/>
      <c r="AQ37" s="24"/>
      <c r="AR37" s="24"/>
      <c r="AS37" s="42">
        <f t="shared" si="53"/>
        <v>1</v>
      </c>
      <c r="AT37" s="42">
        <f t="shared" si="54"/>
        <v>0</v>
      </c>
      <c r="AU37" s="42">
        <f t="shared" si="55"/>
        <v>0</v>
      </c>
      <c r="AV37" s="42">
        <f t="shared" si="56"/>
        <v>0</v>
      </c>
      <c r="AW37" s="24"/>
      <c r="AX37" s="24">
        <f t="shared" si="30"/>
        <v>42.5</v>
      </c>
      <c r="AY37" s="2" t="str">
        <f t="shared" si="31"/>
        <v/>
      </c>
      <c r="AZ37" s="24"/>
      <c r="BA37" s="42"/>
      <c r="BB37" s="42"/>
      <c r="BC37" s="24"/>
      <c r="BD37" s="24"/>
      <c r="BE37" s="25">
        <f t="shared" si="58"/>
        <v>37.399999999999956</v>
      </c>
      <c r="BF37" s="25">
        <f t="shared" si="39"/>
        <v>0.21603702028266433</v>
      </c>
      <c r="BG37" s="25">
        <f t="shared" si="40"/>
        <v>0.72175663945969704</v>
      </c>
      <c r="BI37" s="27">
        <f t="shared" si="34"/>
        <v>0.4</v>
      </c>
      <c r="BJ37" s="27" t="str">
        <f t="shared" si="35"/>
        <v/>
      </c>
      <c r="BP37">
        <f t="shared" si="60"/>
        <v>0.51000000000000023</v>
      </c>
      <c r="BQ37" s="25">
        <f t="shared" si="43"/>
        <v>7.5063452708745206</v>
      </c>
      <c r="BR37" s="25">
        <f t="shared" si="44"/>
        <v>9.9151763731350934E-5</v>
      </c>
      <c r="BS37" s="25"/>
      <c r="BT37" s="25"/>
    </row>
    <row r="38" spans="1:74">
      <c r="A38" t="s">
        <v>147</v>
      </c>
      <c r="B38" s="7">
        <v>44953</v>
      </c>
      <c r="C38" t="s">
        <v>81</v>
      </c>
      <c r="D38">
        <v>5</v>
      </c>
      <c r="E38" t="s">
        <v>17</v>
      </c>
      <c r="G38">
        <v>8</v>
      </c>
      <c r="H38">
        <v>9</v>
      </c>
      <c r="I38" s="61">
        <v>20.9</v>
      </c>
      <c r="J38" s="61">
        <v>13.5</v>
      </c>
      <c r="K38" s="61">
        <v>10.199999999999999</v>
      </c>
      <c r="L38" s="63">
        <f t="shared" si="67"/>
        <v>17.2</v>
      </c>
      <c r="M38" s="15">
        <f t="shared" si="36"/>
        <v>1</v>
      </c>
      <c r="N38" s="15">
        <f t="shared" si="46"/>
        <v>0.64593301435406703</v>
      </c>
      <c r="O38" s="15">
        <f t="shared" si="47"/>
        <v>0.48803827751196172</v>
      </c>
      <c r="P38" s="15">
        <f t="shared" si="48"/>
        <v>0.82296650717703357</v>
      </c>
      <c r="Q38" s="16">
        <f t="shared" si="49"/>
        <v>0.33492822966507185</v>
      </c>
      <c r="R38" s="16">
        <f t="shared" si="50"/>
        <v>0.35406698564593297</v>
      </c>
      <c r="S38" s="14">
        <f t="shared" si="38"/>
        <v>0.35406698564593297</v>
      </c>
      <c r="T38" s="14" t="e">
        <f t="shared" si="62"/>
        <v>#N/A</v>
      </c>
      <c r="U38" s="22">
        <f t="shared" si="68"/>
        <v>43.408859728805432</v>
      </c>
      <c r="V38" s="22">
        <f t="shared" si="15"/>
        <v>43.408859728805432</v>
      </c>
      <c r="W38" s="22" t="str">
        <f t="shared" si="16"/>
        <v/>
      </c>
      <c r="X38" s="22">
        <f t="shared" si="51"/>
        <v>0.48738111304294141</v>
      </c>
      <c r="Y38" s="22">
        <f t="shared" si="17"/>
        <v>0.48738111304294141</v>
      </c>
      <c r="Z38" s="22" t="str">
        <f t="shared" si="18"/>
        <v/>
      </c>
      <c r="AA38" s="2">
        <f t="shared" si="66"/>
        <v>413.10999999999996</v>
      </c>
      <c r="AB38" s="25">
        <f t="shared" si="63"/>
        <v>14.343999999999999</v>
      </c>
      <c r="AC38" s="25" t="str">
        <f t="shared" si="64"/>
        <v/>
      </c>
      <c r="AD38" s="51">
        <f t="shared" si="21"/>
        <v>0.58779569706747203</v>
      </c>
      <c r="AE38" s="51" t="str">
        <f t="shared" si="65"/>
        <v/>
      </c>
      <c r="AF38" s="51">
        <f t="shared" si="22"/>
        <v>0.48425094230114996</v>
      </c>
      <c r="AG38" s="51" t="str">
        <f t="shared" si="23"/>
        <v/>
      </c>
      <c r="AH38" s="51">
        <f t="shared" si="69"/>
        <v>6.4036329427205121E-2</v>
      </c>
      <c r="AI38" s="51" t="str">
        <f t="shared" si="70"/>
        <v/>
      </c>
      <c r="AJ38" s="55">
        <f t="shared" ref="AJ38:AJ60" si="71">IF(AD38="","",$AP$13*AD38+$AP$14)</f>
        <v>0.57018722797645727</v>
      </c>
      <c r="AK38" s="55" t="str">
        <f t="shared" ref="AK38:AK60" si="72">IF(AE38="","",$AP$13*AE38+$AP$14)</f>
        <v/>
      </c>
      <c r="AL38" s="55">
        <f t="shared" si="27"/>
        <v>1</v>
      </c>
      <c r="AM38" s="55" t="str">
        <f t="shared" si="28"/>
        <v/>
      </c>
      <c r="AN38" s="24"/>
      <c r="AO38" s="24"/>
      <c r="AP38" s="24"/>
      <c r="AQ38" s="24"/>
      <c r="AR38" s="24"/>
      <c r="AS38" s="42">
        <f t="shared" si="53"/>
        <v>0</v>
      </c>
      <c r="AT38" s="42">
        <f t="shared" si="54"/>
        <v>1</v>
      </c>
      <c r="AU38" s="42">
        <f t="shared" si="55"/>
        <v>0</v>
      </c>
      <c r="AV38" s="42">
        <f t="shared" si="56"/>
        <v>0</v>
      </c>
      <c r="AW38" s="24"/>
      <c r="AX38" s="24">
        <f t="shared" ref="AX38:AX60" si="73">IF(D38=5,MROUND(U38, 2.5),"")</f>
        <v>42.5</v>
      </c>
      <c r="AY38" s="2" t="str">
        <f t="shared" ref="AY38:AY60" si="74">IF(D38=6,MROUND(U38, 2.5),"")</f>
        <v/>
      </c>
      <c r="AZ38" s="24"/>
      <c r="BA38" s="42"/>
      <c r="BB38" s="42"/>
      <c r="BC38" s="24"/>
      <c r="BD38" s="24"/>
      <c r="BE38" s="25">
        <f t="shared" si="58"/>
        <v>37.799999999999955</v>
      </c>
      <c r="BF38" s="25">
        <f t="shared" si="39"/>
        <v>0.34628307959299409</v>
      </c>
      <c r="BG38" s="25">
        <f t="shared" si="40"/>
        <v>1.0137234086368536</v>
      </c>
      <c r="BI38" s="27">
        <f t="shared" ref="BI38:BI60" si="75">IF(D38=5,MROUND(X38, 0.05),"")</f>
        <v>0.5</v>
      </c>
      <c r="BJ38" s="27" t="str">
        <f t="shared" ref="BJ38:BJ60" si="76">IF(D38=6,MROUND(X38, 0.05),"")</f>
        <v/>
      </c>
      <c r="BP38">
        <f t="shared" si="60"/>
        <v>0.52000000000000024</v>
      </c>
      <c r="BQ38" s="25">
        <f t="shared" si="43"/>
        <v>9.7989133742928534</v>
      </c>
      <c r="BR38" s="25">
        <f t="shared" si="44"/>
        <v>6.4679882451661684E-4</v>
      </c>
      <c r="BS38" s="25"/>
      <c r="BT38" s="25"/>
    </row>
    <row r="39" spans="1:74">
      <c r="A39" t="s">
        <v>148</v>
      </c>
      <c r="B39" s="7">
        <v>44953</v>
      </c>
      <c r="C39" t="s">
        <v>81</v>
      </c>
      <c r="D39">
        <v>6</v>
      </c>
      <c r="E39" t="s">
        <v>26</v>
      </c>
      <c r="F39" s="9">
        <v>0</v>
      </c>
      <c r="I39" s="61">
        <v>25.4</v>
      </c>
      <c r="J39" s="61">
        <v>13</v>
      </c>
      <c r="K39" s="61">
        <v>9.3000000000000007</v>
      </c>
      <c r="L39" s="63">
        <f t="shared" si="67"/>
        <v>19.2</v>
      </c>
      <c r="M39" s="15">
        <f t="shared" si="36"/>
        <v>1</v>
      </c>
      <c r="N39" s="15">
        <f t="shared" si="46"/>
        <v>0.51181102362204722</v>
      </c>
      <c r="O39" s="15">
        <f t="shared" si="47"/>
        <v>0.36614173228346464</v>
      </c>
      <c r="P39" s="15">
        <f t="shared" si="48"/>
        <v>0.75590551181102361</v>
      </c>
      <c r="Q39" s="16">
        <f t="shared" si="49"/>
        <v>0.38976377952755897</v>
      </c>
      <c r="R39" s="16">
        <f t="shared" si="50"/>
        <v>0.48818897637795278</v>
      </c>
      <c r="S39" s="14" t="e">
        <f t="shared" si="38"/>
        <v>#N/A</v>
      </c>
      <c r="T39" s="14">
        <f t="shared" si="62"/>
        <v>0.48818897637795278</v>
      </c>
      <c r="U39" s="22">
        <f t="shared" si="68"/>
        <v>38.603414788527793</v>
      </c>
      <c r="V39" s="22" t="str">
        <f t="shared" si="15"/>
        <v/>
      </c>
      <c r="W39" s="22">
        <f t="shared" si="16"/>
        <v>38.603414788527793</v>
      </c>
      <c r="X39" s="22">
        <f t="shared" si="51"/>
        <v>0.62469535014161981</v>
      </c>
      <c r="Y39" s="22" t="str">
        <f t="shared" si="17"/>
        <v/>
      </c>
      <c r="Z39" s="22">
        <f t="shared" si="18"/>
        <v>0.62469535014161981</v>
      </c>
      <c r="AA39" s="2">
        <f t="shared" si="66"/>
        <v>622.86</v>
      </c>
      <c r="AB39" s="25" t="str">
        <f t="shared" si="63"/>
        <v/>
      </c>
      <c r="AC39" s="25">
        <f t="shared" si="64"/>
        <v>14.831</v>
      </c>
      <c r="AD39" s="51" t="str">
        <f t="shared" si="21"/>
        <v/>
      </c>
      <c r="AE39" s="51">
        <f t="shared" si="65"/>
        <v>0.33804886039287552</v>
      </c>
      <c r="AF39" s="51" t="str">
        <f t="shared" si="22"/>
        <v/>
      </c>
      <c r="AG39" s="51">
        <f t="shared" si="23"/>
        <v>0.91482415858802391</v>
      </c>
      <c r="AH39" s="51" t="str">
        <f t="shared" si="69"/>
        <v/>
      </c>
      <c r="AI39" s="51">
        <f t="shared" si="70"/>
        <v>0.35457354385932938</v>
      </c>
      <c r="AJ39" s="55" t="str">
        <f t="shared" si="71"/>
        <v/>
      </c>
      <c r="AK39" s="55">
        <f t="shared" si="72"/>
        <v>0.65279928402753562</v>
      </c>
      <c r="AL39" s="55" t="str">
        <f t="shared" si="27"/>
        <v/>
      </c>
      <c r="AM39" s="55">
        <f t="shared" si="28"/>
        <v>1</v>
      </c>
      <c r="AN39" s="24"/>
      <c r="AO39" s="24"/>
      <c r="AP39" s="24"/>
      <c r="AQ39" s="24"/>
      <c r="AR39" s="24"/>
      <c r="AS39" s="42">
        <f t="shared" si="53"/>
        <v>1</v>
      </c>
      <c r="AT39" s="42">
        <f t="shared" si="54"/>
        <v>0</v>
      </c>
      <c r="AU39" s="42">
        <f t="shared" si="55"/>
        <v>0</v>
      </c>
      <c r="AV39" s="42">
        <f t="shared" si="56"/>
        <v>0</v>
      </c>
      <c r="AW39" s="24"/>
      <c r="AX39" s="24" t="str">
        <f t="shared" si="73"/>
        <v/>
      </c>
      <c r="AY39" s="2">
        <f t="shared" si="74"/>
        <v>37.5</v>
      </c>
      <c r="AZ39" s="24"/>
      <c r="BA39" s="24"/>
      <c r="BB39" s="24"/>
      <c r="BC39" s="24"/>
      <c r="BE39" s="25">
        <f t="shared" si="58"/>
        <v>38.199999999999953</v>
      </c>
      <c r="BF39" s="25">
        <f t="shared" si="39"/>
        <v>0.53783465851124379</v>
      </c>
      <c r="BG39" s="25">
        <f t="shared" si="40"/>
        <v>1.3914498942280589</v>
      </c>
      <c r="BI39" s="27" t="str">
        <f t="shared" si="75"/>
        <v/>
      </c>
      <c r="BJ39" s="27">
        <f t="shared" si="76"/>
        <v>0.60000000000000009</v>
      </c>
      <c r="BP39">
        <f t="shared" si="60"/>
        <v>0.53000000000000025</v>
      </c>
      <c r="BQ39" s="25">
        <f t="shared" si="43"/>
        <v>11.565399165073767</v>
      </c>
      <c r="BR39" s="25">
        <f t="shared" si="44"/>
        <v>3.6016915592168752E-3</v>
      </c>
      <c r="BS39" s="25"/>
      <c r="BT39" s="25"/>
    </row>
    <row r="40" spans="1:74">
      <c r="A40" t="s">
        <v>149</v>
      </c>
      <c r="B40" s="7">
        <v>44953</v>
      </c>
      <c r="C40" t="s">
        <v>81</v>
      </c>
      <c r="D40">
        <v>6</v>
      </c>
      <c r="E40" t="s">
        <v>17</v>
      </c>
      <c r="I40" s="61">
        <v>30.7</v>
      </c>
      <c r="J40" s="61">
        <v>16.600000000000001</v>
      </c>
      <c r="K40" s="61">
        <v>9.6</v>
      </c>
      <c r="L40" s="63">
        <f t="shared" si="67"/>
        <v>23.65</v>
      </c>
      <c r="M40" s="15">
        <f t="shared" si="36"/>
        <v>1</v>
      </c>
      <c r="N40" s="15">
        <f t="shared" si="46"/>
        <v>0.54071661237785018</v>
      </c>
      <c r="O40" s="15">
        <f t="shared" si="47"/>
        <v>0.31270358306188922</v>
      </c>
      <c r="P40" s="15">
        <f t="shared" si="48"/>
        <v>0.77035830618892509</v>
      </c>
      <c r="Q40" s="16">
        <f t="shared" si="49"/>
        <v>0.45765472312703587</v>
      </c>
      <c r="R40" s="16">
        <f t="shared" si="50"/>
        <v>0.45928338762214982</v>
      </c>
      <c r="S40" s="14" t="e">
        <f t="shared" si="38"/>
        <v>#N/A</v>
      </c>
      <c r="T40" s="14">
        <f t="shared" si="62"/>
        <v>0.45928338762214982</v>
      </c>
      <c r="U40" s="22">
        <f t="shared" si="68"/>
        <v>44.898231404512657</v>
      </c>
      <c r="V40" s="22" t="str">
        <f t="shared" si="15"/>
        <v/>
      </c>
      <c r="W40" s="22">
        <f t="shared" si="16"/>
        <v>44.898231404512657</v>
      </c>
      <c r="X40" s="22">
        <f t="shared" si="51"/>
        <v>0.64837417880893577</v>
      </c>
      <c r="Y40" s="22" t="str">
        <f t="shared" si="17"/>
        <v/>
      </c>
      <c r="Z40" s="22">
        <f t="shared" si="18"/>
        <v>0.64837417880893577</v>
      </c>
      <c r="AA40" s="2">
        <f t="shared" si="66"/>
        <v>916.29</v>
      </c>
      <c r="AB40" s="25" t="str">
        <f t="shared" si="63"/>
        <v/>
      </c>
      <c r="AC40" s="25">
        <f t="shared" si="64"/>
        <v>18.432000000000002</v>
      </c>
      <c r="AD40" s="51" t="str">
        <f t="shared" si="21"/>
        <v/>
      </c>
      <c r="AE40" s="51">
        <f t="shared" si="65"/>
        <v>0.66520078010628259</v>
      </c>
      <c r="AF40" s="51" t="str">
        <f t="shared" si="22"/>
        <v/>
      </c>
      <c r="AG40" s="51">
        <f t="shared" si="23"/>
        <v>0.98907333793470209</v>
      </c>
      <c r="AH40" s="51" t="str">
        <f t="shared" si="69"/>
        <v/>
      </c>
      <c r="AI40" s="51">
        <f t="shared" si="70"/>
        <v>0.29205476114050544</v>
      </c>
      <c r="AJ40" s="55" t="str">
        <f t="shared" si="71"/>
        <v/>
      </c>
      <c r="AK40" s="55">
        <f t="shared" si="72"/>
        <v>0.54458292746244386</v>
      </c>
      <c r="AL40" s="55" t="str">
        <f t="shared" si="27"/>
        <v/>
      </c>
      <c r="AM40" s="55">
        <f t="shared" si="28"/>
        <v>1</v>
      </c>
      <c r="AN40" s="24"/>
      <c r="AO40" s="24"/>
      <c r="AP40" s="24"/>
      <c r="AQ40" s="24"/>
      <c r="AR40" s="24"/>
      <c r="AS40" s="42">
        <f t="shared" si="53"/>
        <v>0</v>
      </c>
      <c r="AT40" s="42">
        <f t="shared" si="54"/>
        <v>0</v>
      </c>
      <c r="AU40" s="42">
        <f t="shared" si="55"/>
        <v>0</v>
      </c>
      <c r="AV40" s="42">
        <f t="shared" si="56"/>
        <v>1</v>
      </c>
      <c r="AW40" s="24"/>
      <c r="AX40" s="24" t="str">
        <f t="shared" si="73"/>
        <v/>
      </c>
      <c r="AY40" s="2">
        <f t="shared" si="74"/>
        <v>45</v>
      </c>
      <c r="AZ40" s="24"/>
      <c r="BA40" s="24"/>
      <c r="BB40" s="24"/>
      <c r="BC40" s="24"/>
      <c r="BE40" s="25">
        <f t="shared" si="58"/>
        <v>38.599999999999952</v>
      </c>
      <c r="BF40" s="25">
        <f t="shared" si="39"/>
        <v>0.80943265344761162</v>
      </c>
      <c r="BG40" s="25">
        <f t="shared" si="40"/>
        <v>1.8665304459407814</v>
      </c>
      <c r="BI40" s="27" t="str">
        <f t="shared" si="75"/>
        <v/>
      </c>
      <c r="BJ40" s="27">
        <f t="shared" si="76"/>
        <v>0.65</v>
      </c>
      <c r="BP40">
        <f t="shared" si="60"/>
        <v>0.54000000000000026</v>
      </c>
      <c r="BQ40" s="25">
        <f t="shared" si="43"/>
        <v>12.341747621500245</v>
      </c>
      <c r="BR40" s="25">
        <f t="shared" si="44"/>
        <v>1.7120337911265472E-2</v>
      </c>
      <c r="BS40" s="25"/>
      <c r="BT40" s="25"/>
    </row>
    <row r="41" spans="1:74">
      <c r="A41" t="s">
        <v>150</v>
      </c>
      <c r="B41" s="7">
        <v>44953</v>
      </c>
      <c r="C41" t="s">
        <v>81</v>
      </c>
      <c r="D41">
        <v>5</v>
      </c>
      <c r="E41" t="s">
        <v>17</v>
      </c>
      <c r="G41">
        <v>10</v>
      </c>
      <c r="H41">
        <v>10</v>
      </c>
      <c r="I41" s="61">
        <v>25.7</v>
      </c>
      <c r="J41" s="61">
        <v>17.5</v>
      </c>
      <c r="K41" s="61">
        <v>13</v>
      </c>
      <c r="L41" s="63">
        <f t="shared" si="67"/>
        <v>21.6</v>
      </c>
      <c r="M41" s="15">
        <f t="shared" si="36"/>
        <v>1</v>
      </c>
      <c r="N41" s="15">
        <f t="shared" si="46"/>
        <v>0.68093385214007784</v>
      </c>
      <c r="O41" s="15">
        <f t="shared" si="47"/>
        <v>0.50583657587548636</v>
      </c>
      <c r="P41" s="15">
        <f t="shared" si="48"/>
        <v>0.84046692607003903</v>
      </c>
      <c r="Q41" s="16">
        <f t="shared" si="49"/>
        <v>0.33463035019455267</v>
      </c>
      <c r="R41" s="16">
        <f t="shared" si="50"/>
        <v>0.31906614785992216</v>
      </c>
      <c r="S41" s="14">
        <f t="shared" si="38"/>
        <v>0.31906614785992216</v>
      </c>
      <c r="T41" s="14" t="e">
        <f t="shared" si="62"/>
        <v>#N/A</v>
      </c>
      <c r="U41" s="22">
        <f t="shared" si="68"/>
        <v>46.363927531602926</v>
      </c>
      <c r="V41" s="22">
        <f t="shared" si="15"/>
        <v>46.363927531602926</v>
      </c>
      <c r="W41" s="22" t="str">
        <f t="shared" si="16"/>
        <v/>
      </c>
      <c r="X41" s="22">
        <f t="shared" si="51"/>
        <v>0.46236422653736814</v>
      </c>
      <c r="Y41" s="22">
        <f t="shared" si="17"/>
        <v>0.46236422653736814</v>
      </c>
      <c r="Z41" s="22" t="str">
        <f t="shared" si="18"/>
        <v/>
      </c>
      <c r="AA41" s="2">
        <f t="shared" si="66"/>
        <v>629.99</v>
      </c>
      <c r="AB41" s="25">
        <f t="shared" si="63"/>
        <v>18.3</v>
      </c>
      <c r="AC41" s="25" t="str">
        <f t="shared" si="64"/>
        <v/>
      </c>
      <c r="AD41" s="51">
        <f t="shared" si="21"/>
        <v>0.74137540614327402</v>
      </c>
      <c r="AE41" s="51" t="str">
        <f t="shared" si="65"/>
        <v/>
      </c>
      <c r="AF41" s="51">
        <f t="shared" si="22"/>
        <v>0.40580604458491709</v>
      </c>
      <c r="AG41" s="51" t="str">
        <f t="shared" si="23"/>
        <v/>
      </c>
      <c r="AH41" s="51">
        <f t="shared" si="69"/>
        <v>0.20894719954902333</v>
      </c>
      <c r="AI41" s="51" t="str">
        <f t="shared" si="70"/>
        <v/>
      </c>
      <c r="AJ41" s="55">
        <f t="shared" si="71"/>
        <v>0.5193856414442144</v>
      </c>
      <c r="AK41" s="55" t="str">
        <f t="shared" si="72"/>
        <v/>
      </c>
      <c r="AL41" s="55">
        <f t="shared" si="27"/>
        <v>1</v>
      </c>
      <c r="AM41" s="55" t="str">
        <f t="shared" si="28"/>
        <v/>
      </c>
      <c r="AN41" s="24"/>
      <c r="AO41" s="24"/>
      <c r="AP41" s="24"/>
      <c r="AQ41" s="24"/>
      <c r="AR41" s="24"/>
      <c r="AS41" s="42">
        <f t="shared" si="53"/>
        <v>0</v>
      </c>
      <c r="AT41" s="42">
        <f t="shared" si="54"/>
        <v>0</v>
      </c>
      <c r="AU41" s="42">
        <f t="shared" si="55"/>
        <v>1</v>
      </c>
      <c r="AV41" s="42">
        <f t="shared" si="56"/>
        <v>0</v>
      </c>
      <c r="AW41" s="24"/>
      <c r="AX41" s="24">
        <f t="shared" si="73"/>
        <v>47.5</v>
      </c>
      <c r="AY41" s="2" t="str">
        <f t="shared" si="74"/>
        <v/>
      </c>
      <c r="AZ41" s="24"/>
      <c r="BA41" s="24"/>
      <c r="BB41" s="24"/>
      <c r="BC41" s="24"/>
      <c r="BE41" s="25">
        <f t="shared" si="58"/>
        <v>38.99999999999995</v>
      </c>
      <c r="BF41" s="25">
        <f t="shared" si="39"/>
        <v>1.180394227396838</v>
      </c>
      <c r="BG41" s="25">
        <f t="shared" si="40"/>
        <v>2.4469325258568611</v>
      </c>
      <c r="BI41" s="27">
        <f t="shared" si="75"/>
        <v>0.45</v>
      </c>
      <c r="BJ41" s="27" t="str">
        <f t="shared" si="76"/>
        <v/>
      </c>
      <c r="BP41">
        <f t="shared" si="60"/>
        <v>0.55000000000000027</v>
      </c>
      <c r="BQ41" s="25">
        <f t="shared" si="43"/>
        <v>11.907648945240451</v>
      </c>
      <c r="BR41" s="25">
        <f t="shared" si="44"/>
        <v>6.9468298951809782E-2</v>
      </c>
      <c r="BS41" s="25"/>
      <c r="BT41" s="25"/>
    </row>
    <row r="42" spans="1:74">
      <c r="A42" t="s">
        <v>151</v>
      </c>
      <c r="B42" s="7">
        <v>44953</v>
      </c>
      <c r="C42" t="s">
        <v>81</v>
      </c>
      <c r="D42">
        <v>6</v>
      </c>
      <c r="E42" t="s">
        <v>17</v>
      </c>
      <c r="I42" s="61">
        <v>39.299999999999997</v>
      </c>
      <c r="J42" s="61">
        <v>22.4</v>
      </c>
      <c r="K42" s="61">
        <v>13.1</v>
      </c>
      <c r="L42" s="63">
        <f t="shared" si="67"/>
        <v>30.849999999999998</v>
      </c>
      <c r="M42" s="15">
        <f t="shared" si="36"/>
        <v>1</v>
      </c>
      <c r="N42" s="15">
        <f t="shared" si="46"/>
        <v>0.56997455470737912</v>
      </c>
      <c r="O42" s="15">
        <f t="shared" si="47"/>
        <v>0.33333333333333337</v>
      </c>
      <c r="P42" s="15">
        <f t="shared" si="48"/>
        <v>0.78498727735368956</v>
      </c>
      <c r="Q42" s="16">
        <f t="shared" si="49"/>
        <v>0.45165394402035619</v>
      </c>
      <c r="R42" s="16">
        <f t="shared" si="50"/>
        <v>0.43002544529262088</v>
      </c>
      <c r="S42" s="14" t="e">
        <f t="shared" si="38"/>
        <v>#N/A</v>
      </c>
      <c r="T42" s="14">
        <f t="shared" si="62"/>
        <v>0.43002544529262088</v>
      </c>
      <c r="U42" s="22">
        <f t="shared" si="68"/>
        <v>46.405242339872522</v>
      </c>
      <c r="V42" s="22" t="str">
        <f t="shared" si="15"/>
        <v/>
      </c>
      <c r="W42" s="22">
        <f t="shared" si="16"/>
        <v>46.405242339872522</v>
      </c>
      <c r="X42" s="22">
        <f t="shared" si="51"/>
        <v>0.62362903135458658</v>
      </c>
      <c r="Y42" s="22" t="str">
        <f t="shared" si="17"/>
        <v/>
      </c>
      <c r="Z42" s="22">
        <f t="shared" si="18"/>
        <v>0.62362903135458658</v>
      </c>
      <c r="AA42" s="2">
        <f t="shared" si="66"/>
        <v>1508.9899999999998</v>
      </c>
      <c r="AB42" s="25" t="str">
        <f t="shared" si="63"/>
        <v/>
      </c>
      <c r="AC42" s="25">
        <f t="shared" si="64"/>
        <v>24.457000000000001</v>
      </c>
      <c r="AD42" s="51" t="str">
        <f t="shared" si="21"/>
        <v/>
      </c>
      <c r="AE42" s="51">
        <f t="shared" si="65"/>
        <v>0.74352260433228357</v>
      </c>
      <c r="AF42" s="51" t="str">
        <f t="shared" si="22"/>
        <v/>
      </c>
      <c r="AG42" s="51">
        <f t="shared" si="23"/>
        <v>0.91148052635133114</v>
      </c>
      <c r="AH42" s="51" t="str">
        <f t="shared" si="69"/>
        <v/>
      </c>
      <c r="AI42" s="51">
        <f t="shared" si="70"/>
        <v>0.24426775866883155</v>
      </c>
      <c r="AJ42" s="55" t="str">
        <f t="shared" si="71"/>
        <v/>
      </c>
      <c r="AK42" s="55">
        <f t="shared" si="72"/>
        <v>0.51867538437147176</v>
      </c>
      <c r="AL42" s="55" t="str">
        <f t="shared" si="27"/>
        <v/>
      </c>
      <c r="AM42" s="55">
        <f t="shared" si="28"/>
        <v>1</v>
      </c>
      <c r="AN42" s="24"/>
      <c r="AO42" s="24"/>
      <c r="AP42" s="24"/>
      <c r="AQ42" s="24"/>
      <c r="AR42" s="24"/>
      <c r="AS42" s="42">
        <f t="shared" si="53"/>
        <v>1</v>
      </c>
      <c r="AT42" s="42">
        <f t="shared" si="54"/>
        <v>0</v>
      </c>
      <c r="AU42" s="42">
        <f t="shared" si="55"/>
        <v>0</v>
      </c>
      <c r="AV42" s="42">
        <f t="shared" si="56"/>
        <v>0</v>
      </c>
      <c r="AW42" s="24"/>
      <c r="AX42" s="24" t="str">
        <f t="shared" si="73"/>
        <v/>
      </c>
      <c r="AY42" s="2">
        <f t="shared" si="74"/>
        <v>47.5</v>
      </c>
      <c r="AZ42" s="24"/>
      <c r="BA42" s="24"/>
      <c r="BB42" s="24"/>
      <c r="BC42" s="24"/>
      <c r="BE42" s="25">
        <f t="shared" si="58"/>
        <v>39.399999999999949</v>
      </c>
      <c r="BF42" s="25">
        <f t="shared" si="39"/>
        <v>1.667968539524731</v>
      </c>
      <c r="BG42" s="25">
        <f t="shared" si="40"/>
        <v>3.1349333984947507</v>
      </c>
      <c r="BI42" s="27" t="str">
        <f t="shared" si="75"/>
        <v/>
      </c>
      <c r="BJ42" s="27">
        <f t="shared" si="76"/>
        <v>0.60000000000000009</v>
      </c>
      <c r="BP42">
        <f t="shared" si="60"/>
        <v>0.56000000000000028</v>
      </c>
      <c r="BQ42" s="25">
        <f t="shared" si="43"/>
        <v>10.387444358769555</v>
      </c>
      <c r="BR42" s="25">
        <f t="shared" si="44"/>
        <v>0.24061877694265565</v>
      </c>
      <c r="BS42" s="25"/>
      <c r="BT42" s="25"/>
    </row>
    <row r="43" spans="1:74">
      <c r="A43" t="s">
        <v>152</v>
      </c>
      <c r="B43" s="7">
        <v>44953</v>
      </c>
      <c r="C43" t="s">
        <v>81</v>
      </c>
      <c r="D43">
        <v>6</v>
      </c>
      <c r="E43" t="s">
        <v>26</v>
      </c>
      <c r="F43" s="9">
        <v>1</v>
      </c>
      <c r="I43" s="61">
        <v>31.9</v>
      </c>
      <c r="J43" s="61">
        <v>19.399999999999999</v>
      </c>
      <c r="K43" s="61">
        <v>13.2</v>
      </c>
      <c r="L43" s="63">
        <f t="shared" si="67"/>
        <v>25.65</v>
      </c>
      <c r="M43" s="15">
        <f t="shared" si="36"/>
        <v>1</v>
      </c>
      <c r="N43" s="15">
        <f t="shared" si="46"/>
        <v>0.60815047021943569</v>
      </c>
      <c r="O43" s="15">
        <f t="shared" si="47"/>
        <v>0.41379310344827586</v>
      </c>
      <c r="P43" s="15">
        <f t="shared" si="48"/>
        <v>0.8040752351097179</v>
      </c>
      <c r="Q43" s="16">
        <f t="shared" si="49"/>
        <v>0.39028213166144204</v>
      </c>
      <c r="R43" s="16">
        <f t="shared" si="50"/>
        <v>0.39184952978056431</v>
      </c>
      <c r="S43" s="14" t="e">
        <f t="shared" si="38"/>
        <v>#N/A</v>
      </c>
      <c r="T43" s="14">
        <f t="shared" si="62"/>
        <v>0.39184952978056431</v>
      </c>
      <c r="U43" s="22">
        <f t="shared" si="68"/>
        <v>44.885178952279766</v>
      </c>
      <c r="V43" s="22" t="str">
        <f t="shared" si="15"/>
        <v/>
      </c>
      <c r="W43" s="22">
        <f t="shared" si="16"/>
        <v>44.885178952279766</v>
      </c>
      <c r="X43" s="22">
        <f t="shared" si="51"/>
        <v>0.55305171212414539</v>
      </c>
      <c r="Y43" s="22" t="str">
        <f t="shared" si="17"/>
        <v/>
      </c>
      <c r="Z43" s="22">
        <f t="shared" si="18"/>
        <v>0.55305171212414539</v>
      </c>
      <c r="AA43" s="2">
        <f t="shared" si="66"/>
        <v>985.00999999999988</v>
      </c>
      <c r="AB43" s="25" t="str">
        <f t="shared" si="63"/>
        <v/>
      </c>
      <c r="AC43" s="25">
        <f t="shared" si="64"/>
        <v>20.883999999999997</v>
      </c>
      <c r="AD43" s="51" t="str">
        <f t="shared" si="21"/>
        <v/>
      </c>
      <c r="AE43" s="51">
        <f t="shared" si="65"/>
        <v>0.66452242280606921</v>
      </c>
      <c r="AF43" s="51" t="str">
        <f t="shared" si="22"/>
        <v/>
      </c>
      <c r="AG43" s="51">
        <f t="shared" si="23"/>
        <v>0.69017278740130361</v>
      </c>
      <c r="AH43" s="51" t="str">
        <f t="shared" si="69"/>
        <v/>
      </c>
      <c r="AI43" s="51">
        <f t="shared" si="70"/>
        <v>4.5221713374423503E-2</v>
      </c>
      <c r="AJ43" s="55" t="str">
        <f t="shared" si="71"/>
        <v/>
      </c>
      <c r="AK43" s="55">
        <f t="shared" si="72"/>
        <v>0.54480731665613324</v>
      </c>
      <c r="AL43" s="55" t="str">
        <f t="shared" si="27"/>
        <v/>
      </c>
      <c r="AM43" s="55">
        <f t="shared" si="28"/>
        <v>1</v>
      </c>
      <c r="AN43" s="24"/>
      <c r="AO43" s="24"/>
      <c r="AP43" s="24"/>
      <c r="AQ43" s="24"/>
      <c r="AR43" s="24"/>
      <c r="AS43" s="42">
        <f t="shared" si="53"/>
        <v>0</v>
      </c>
      <c r="AT43" s="42">
        <f t="shared" si="54"/>
        <v>0</v>
      </c>
      <c r="AU43" s="42">
        <f t="shared" si="55"/>
        <v>1</v>
      </c>
      <c r="AV43" s="42">
        <f t="shared" si="56"/>
        <v>0</v>
      </c>
      <c r="AW43" s="24"/>
      <c r="AX43" s="24" t="str">
        <f t="shared" si="73"/>
        <v/>
      </c>
      <c r="AY43" s="2">
        <f t="shared" si="74"/>
        <v>45</v>
      </c>
      <c r="AZ43" s="24"/>
      <c r="BA43" s="24"/>
      <c r="BB43" s="24"/>
      <c r="BC43" s="24"/>
      <c r="BE43" s="25">
        <f t="shared" si="58"/>
        <v>39.799999999999947</v>
      </c>
      <c r="BF43" s="25">
        <f t="shared" si="39"/>
        <v>2.2838262175855473</v>
      </c>
      <c r="BG43" s="25">
        <f t="shared" si="40"/>
        <v>3.9251300700552738</v>
      </c>
      <c r="BI43" s="27" t="str">
        <f t="shared" si="75"/>
        <v/>
      </c>
      <c r="BJ43" s="27">
        <f t="shared" si="76"/>
        <v>0.55000000000000004</v>
      </c>
      <c r="BP43">
        <f t="shared" si="60"/>
        <v>0.57000000000000028</v>
      </c>
      <c r="BQ43" s="25">
        <f t="shared" si="43"/>
        <v>8.1926560994595086</v>
      </c>
      <c r="BR43" s="25">
        <f t="shared" si="44"/>
        <v>0.71144426596535126</v>
      </c>
      <c r="BS43" s="25"/>
      <c r="BT43" s="25"/>
    </row>
    <row r="44" spans="1:74">
      <c r="A44" t="s">
        <v>153</v>
      </c>
      <c r="B44" s="7">
        <v>44953</v>
      </c>
      <c r="C44" t="s">
        <v>81</v>
      </c>
      <c r="D44">
        <v>6</v>
      </c>
      <c r="E44" t="s">
        <v>26</v>
      </c>
      <c r="F44" s="9">
        <v>0</v>
      </c>
      <c r="I44" s="61">
        <v>18.600000000000001</v>
      </c>
      <c r="J44" s="61">
        <v>10.9</v>
      </c>
      <c r="K44" s="61">
        <v>7.8</v>
      </c>
      <c r="L44" s="63">
        <f t="shared" si="67"/>
        <v>14.75</v>
      </c>
      <c r="M44" s="15">
        <f t="shared" si="36"/>
        <v>1</v>
      </c>
      <c r="N44" s="15">
        <f t="shared" si="46"/>
        <v>0.58602150537634401</v>
      </c>
      <c r="O44" s="15">
        <f t="shared" si="47"/>
        <v>0.41935483870967738</v>
      </c>
      <c r="P44" s="15">
        <f t="shared" si="48"/>
        <v>0.793010752688172</v>
      </c>
      <c r="Q44" s="16">
        <f t="shared" si="49"/>
        <v>0.37365591397849462</v>
      </c>
      <c r="R44" s="16">
        <f t="shared" si="50"/>
        <v>0.41397849462365599</v>
      </c>
      <c r="S44" s="14" t="e">
        <f t="shared" si="38"/>
        <v>#N/A</v>
      </c>
      <c r="T44" s="14">
        <f t="shared" si="62"/>
        <v>0.41397849462365599</v>
      </c>
      <c r="U44" s="22">
        <f t="shared" si="68"/>
        <v>42.069327494433111</v>
      </c>
      <c r="V44" s="22" t="str">
        <f t="shared" si="15"/>
        <v/>
      </c>
      <c r="W44" s="22">
        <f t="shared" si="16"/>
        <v>42.069327494433111</v>
      </c>
      <c r="X44" s="22">
        <f t="shared" si="51"/>
        <v>0.55767099266679865</v>
      </c>
      <c r="Y44" s="22" t="str">
        <f t="shared" si="17"/>
        <v/>
      </c>
      <c r="Z44" s="22">
        <f t="shared" si="18"/>
        <v>0.55767099266679865</v>
      </c>
      <c r="AA44" s="2">
        <f t="shared" si="66"/>
        <v>327.26000000000005</v>
      </c>
      <c r="AB44" s="25" t="str">
        <f t="shared" si="63"/>
        <v/>
      </c>
      <c r="AC44" s="25">
        <f t="shared" si="64"/>
        <v>11.896000000000001</v>
      </c>
      <c r="AD44" s="51" t="str">
        <f t="shared" si="21"/>
        <v/>
      </c>
      <c r="AE44" s="51">
        <f t="shared" si="65"/>
        <v>0.51817801497645366</v>
      </c>
      <c r="AF44" s="51" t="str">
        <f t="shared" si="22"/>
        <v/>
      </c>
      <c r="AG44" s="51">
        <f t="shared" si="23"/>
        <v>0.70465736323412331</v>
      </c>
      <c r="AH44" s="51" t="str">
        <f t="shared" si="69"/>
        <v/>
      </c>
      <c r="AI44" s="51">
        <f t="shared" si="70"/>
        <v>0.10239473022304539</v>
      </c>
      <c r="AJ44" s="55" t="str">
        <f t="shared" si="71"/>
        <v/>
      </c>
      <c r="AK44" s="55">
        <f t="shared" si="72"/>
        <v>0.59321558714059308</v>
      </c>
      <c r="AL44" s="55" t="str">
        <f t="shared" si="27"/>
        <v/>
      </c>
      <c r="AM44" s="55">
        <f t="shared" si="28"/>
        <v>1</v>
      </c>
      <c r="AN44" s="24"/>
      <c r="AO44" s="24"/>
      <c r="AP44" s="24"/>
      <c r="AQ44" s="24"/>
      <c r="AR44" s="24"/>
      <c r="AS44" s="42">
        <f t="shared" si="53"/>
        <v>0</v>
      </c>
      <c r="AT44" s="42">
        <f t="shared" si="54"/>
        <v>0</v>
      </c>
      <c r="AU44" s="42">
        <f t="shared" si="55"/>
        <v>0</v>
      </c>
      <c r="AV44" s="42">
        <f t="shared" si="56"/>
        <v>1</v>
      </c>
      <c r="AW44" s="24"/>
      <c r="AX44" s="24" t="str">
        <f t="shared" si="73"/>
        <v/>
      </c>
      <c r="AY44" s="2">
        <f t="shared" si="74"/>
        <v>42.5</v>
      </c>
      <c r="AZ44" s="24"/>
      <c r="BA44" s="24"/>
      <c r="BB44" s="24"/>
      <c r="BC44" s="24"/>
      <c r="BE44" s="25">
        <f t="shared" si="58"/>
        <v>40.199999999999946</v>
      </c>
      <c r="BF44" s="25">
        <f t="shared" si="39"/>
        <v>3.0300700924970925</v>
      </c>
      <c r="BG44" s="25">
        <f t="shared" si="40"/>
        <v>4.8028519149647737</v>
      </c>
      <c r="BI44" s="27" t="str">
        <f t="shared" si="75"/>
        <v/>
      </c>
      <c r="BJ44" s="27">
        <f t="shared" si="76"/>
        <v>0.55000000000000004</v>
      </c>
      <c r="BP44">
        <f>BP43+0.01</f>
        <v>0.58000000000000029</v>
      </c>
      <c r="BQ44" s="25">
        <f t="shared" si="43"/>
        <v>5.8421683303579464</v>
      </c>
      <c r="BR44" s="25">
        <f t="shared" si="44"/>
        <v>1.7956461967182893</v>
      </c>
      <c r="BS44" s="25"/>
      <c r="BT44" s="25"/>
    </row>
    <row r="45" spans="1:74">
      <c r="A45" t="s">
        <v>154</v>
      </c>
      <c r="B45" s="7">
        <v>44953</v>
      </c>
      <c r="C45" t="s">
        <v>81</v>
      </c>
      <c r="D45">
        <v>5</v>
      </c>
      <c r="E45" t="s">
        <v>26</v>
      </c>
      <c r="F45" s="9">
        <v>0</v>
      </c>
      <c r="G45" t="s">
        <v>104</v>
      </c>
      <c r="H45" t="s">
        <v>104</v>
      </c>
      <c r="I45" s="61">
        <v>19.3</v>
      </c>
      <c r="J45" s="61">
        <v>12</v>
      </c>
      <c r="K45" s="61">
        <v>8.8000000000000007</v>
      </c>
      <c r="L45" s="63">
        <f t="shared" si="67"/>
        <v>15.65</v>
      </c>
      <c r="M45" s="15">
        <f t="shared" si="36"/>
        <v>1</v>
      </c>
      <c r="N45" s="15">
        <f t="shared" si="46"/>
        <v>0.62176165803108807</v>
      </c>
      <c r="O45" s="15">
        <f t="shared" si="47"/>
        <v>0.45595854922279794</v>
      </c>
      <c r="P45" s="15">
        <f t="shared" si="48"/>
        <v>0.81088082901554404</v>
      </c>
      <c r="Q45" s="16">
        <f t="shared" si="49"/>
        <v>0.3549222797927461</v>
      </c>
      <c r="R45" s="16">
        <f t="shared" si="50"/>
        <v>0.37823834196891193</v>
      </c>
      <c r="S45" s="14">
        <f t="shared" si="38"/>
        <v>0.37823834196891193</v>
      </c>
      <c r="T45" s="14" t="e">
        <f t="shared" si="62"/>
        <v>#N/A</v>
      </c>
      <c r="U45" s="22">
        <f t="shared" si="68"/>
        <v>43.178486648398888</v>
      </c>
      <c r="V45" s="22">
        <f t="shared" si="15"/>
        <v>43.178486648398888</v>
      </c>
      <c r="W45" s="22" t="str">
        <f t="shared" si="16"/>
        <v/>
      </c>
      <c r="X45" s="22">
        <f t="shared" si="51"/>
        <v>0.51868494100819229</v>
      </c>
      <c r="Y45" s="22">
        <f t="shared" si="17"/>
        <v>0.51868494100819229</v>
      </c>
      <c r="Z45" s="22" t="str">
        <f t="shared" si="18"/>
        <v/>
      </c>
      <c r="AA45" s="2">
        <f t="shared" si="66"/>
        <v>351.69</v>
      </c>
      <c r="AB45" s="25">
        <f t="shared" si="63"/>
        <v>12.875999999999998</v>
      </c>
      <c r="AC45" s="25" t="str">
        <f t="shared" si="64"/>
        <v/>
      </c>
      <c r="AD45" s="51">
        <f t="shared" si="21"/>
        <v>0.5758228311202882</v>
      </c>
      <c r="AE45" s="51" t="str">
        <f t="shared" si="65"/>
        <v/>
      </c>
      <c r="AF45" s="51">
        <f t="shared" si="22"/>
        <v>0.58240966330400501</v>
      </c>
      <c r="AG45" s="51" t="str">
        <f t="shared" si="23"/>
        <v/>
      </c>
      <c r="AH45" s="51">
        <f t="shared" si="69"/>
        <v>0.14189429723894331</v>
      </c>
      <c r="AI45" s="51" t="str">
        <f t="shared" si="70"/>
        <v/>
      </c>
      <c r="AJ45" s="55">
        <f t="shared" si="71"/>
        <v>0.57414765080259111</v>
      </c>
      <c r="AK45" s="55" t="str">
        <f t="shared" si="72"/>
        <v/>
      </c>
      <c r="AL45" s="55" t="str">
        <f t="shared" si="27"/>
        <v/>
      </c>
      <c r="AM45" s="55" t="str">
        <f t="shared" si="28"/>
        <v/>
      </c>
      <c r="AN45" s="24"/>
      <c r="AO45" s="24"/>
      <c r="AP45" s="24"/>
      <c r="AQ45" s="24"/>
      <c r="AR45" s="24"/>
      <c r="AS45" s="42">
        <f t="shared" si="53"/>
        <v>0</v>
      </c>
      <c r="AT45" s="42">
        <f t="shared" si="54"/>
        <v>0</v>
      </c>
      <c r="AU45" s="42">
        <f t="shared" si="55"/>
        <v>0</v>
      </c>
      <c r="AV45" s="42">
        <f t="shared" si="56"/>
        <v>1</v>
      </c>
      <c r="AW45" s="24"/>
      <c r="AX45" s="24">
        <f t="shared" si="73"/>
        <v>42.5</v>
      </c>
      <c r="AY45" s="2" t="str">
        <f t="shared" si="74"/>
        <v/>
      </c>
      <c r="AZ45" s="24"/>
      <c r="BA45" s="24"/>
      <c r="BB45" s="24"/>
      <c r="BC45" s="24"/>
      <c r="BE45" s="25">
        <f t="shared" si="58"/>
        <v>40.599999999999945</v>
      </c>
      <c r="BF45" s="25">
        <f t="shared" si="39"/>
        <v>3.8954417703618431</v>
      </c>
      <c r="BG45" s="25">
        <f t="shared" si="40"/>
        <v>5.7433297156908134</v>
      </c>
      <c r="BI45" s="27">
        <f t="shared" si="75"/>
        <v>0.5</v>
      </c>
      <c r="BJ45" s="27" t="str">
        <f t="shared" si="76"/>
        <v/>
      </c>
      <c r="BP45">
        <f t="shared" si="60"/>
        <v>0.5900000000000003</v>
      </c>
      <c r="BQ45" s="25">
        <f t="shared" si="43"/>
        <v>3.7666627215165378</v>
      </c>
      <c r="BR45" s="25">
        <f t="shared" si="44"/>
        <v>3.8687367116691598</v>
      </c>
      <c r="BS45" s="25"/>
      <c r="BT45" s="25"/>
    </row>
    <row r="46" spans="1:74">
      <c r="A46" t="s">
        <v>155</v>
      </c>
      <c r="B46" s="7">
        <v>44953</v>
      </c>
      <c r="C46" t="s">
        <v>81</v>
      </c>
      <c r="D46">
        <v>6</v>
      </c>
      <c r="E46" t="s">
        <v>17</v>
      </c>
      <c r="I46" s="61">
        <v>31.2</v>
      </c>
      <c r="J46" s="61">
        <v>17.2</v>
      </c>
      <c r="K46" s="61">
        <v>11</v>
      </c>
      <c r="L46" s="63">
        <f t="shared" si="67"/>
        <v>24.2</v>
      </c>
      <c r="M46" s="15">
        <f t="shared" si="36"/>
        <v>1</v>
      </c>
      <c r="N46" s="15">
        <f t="shared" si="46"/>
        <v>0.55128205128205132</v>
      </c>
      <c r="O46" s="15">
        <f t="shared" si="47"/>
        <v>0.35256410256410259</v>
      </c>
      <c r="P46" s="15">
        <f t="shared" si="48"/>
        <v>0.77564102564102566</v>
      </c>
      <c r="Q46" s="16">
        <f t="shared" si="49"/>
        <v>0.42307692307692307</v>
      </c>
      <c r="R46" s="16">
        <f t="shared" si="50"/>
        <v>0.44871794871794868</v>
      </c>
      <c r="S46" s="14" t="e">
        <f t="shared" si="38"/>
        <v>#N/A</v>
      </c>
      <c r="T46" s="14">
        <f t="shared" si="62"/>
        <v>0.44871794871794868</v>
      </c>
      <c r="U46" s="22">
        <f t="shared" si="68"/>
        <v>43.315315682103702</v>
      </c>
      <c r="V46" s="22" t="str">
        <f t="shared" si="15"/>
        <v/>
      </c>
      <c r="W46" s="22">
        <f t="shared" si="16"/>
        <v>43.315315682103702</v>
      </c>
      <c r="X46" s="22">
        <f t="shared" si="51"/>
        <v>0.61671863952849704</v>
      </c>
      <c r="Y46" s="22" t="str">
        <f t="shared" si="17"/>
        <v/>
      </c>
      <c r="Z46" s="22">
        <f t="shared" si="18"/>
        <v>0.61671863952849704</v>
      </c>
      <c r="AA46" s="2">
        <f t="shared" si="66"/>
        <v>945.2399999999999</v>
      </c>
      <c r="AB46" s="25" t="str">
        <f t="shared" si="63"/>
        <v/>
      </c>
      <c r="AC46" s="25">
        <f t="shared" si="64"/>
        <v>19.05</v>
      </c>
      <c r="AD46" s="51" t="str">
        <f t="shared" si="21"/>
        <v/>
      </c>
      <c r="AE46" s="51">
        <f t="shared" si="65"/>
        <v>0.58293405989467195</v>
      </c>
      <c r="AF46" s="51" t="str">
        <f t="shared" si="22"/>
        <v/>
      </c>
      <c r="AG46" s="51">
        <f t="shared" si="23"/>
        <v>0.8898117635396231</v>
      </c>
      <c r="AH46" s="51" t="str">
        <f t="shared" si="69"/>
        <v/>
      </c>
      <c r="AI46" s="51">
        <f t="shared" si="70"/>
        <v>0.19303788781066261</v>
      </c>
      <c r="AJ46" s="55" t="str">
        <f t="shared" si="71"/>
        <v/>
      </c>
      <c r="AK46" s="55">
        <f t="shared" si="72"/>
        <v>0.57179537584318152</v>
      </c>
      <c r="AL46" s="55" t="str">
        <f t="shared" si="27"/>
        <v/>
      </c>
      <c r="AM46" s="55">
        <f t="shared" si="28"/>
        <v>1</v>
      </c>
      <c r="AN46" s="24"/>
      <c r="AO46" s="24"/>
      <c r="AP46" s="24"/>
      <c r="AQ46" s="24"/>
      <c r="AR46" s="24"/>
      <c r="AS46" s="42">
        <f t="shared" si="53"/>
        <v>0</v>
      </c>
      <c r="AT46" s="42">
        <f t="shared" si="54"/>
        <v>1</v>
      </c>
      <c r="AU46" s="42">
        <f t="shared" si="55"/>
        <v>0</v>
      </c>
      <c r="AV46" s="42">
        <f t="shared" si="56"/>
        <v>0</v>
      </c>
      <c r="AW46" s="24"/>
      <c r="AX46" s="24" t="str">
        <f t="shared" si="73"/>
        <v/>
      </c>
      <c r="AY46" s="2">
        <f t="shared" si="74"/>
        <v>42.5</v>
      </c>
      <c r="AZ46" s="24"/>
      <c r="BA46" s="24"/>
      <c r="BB46" s="24"/>
      <c r="BC46" s="24"/>
      <c r="BE46" s="25">
        <f t="shared" si="58"/>
        <v>40.999999999999943</v>
      </c>
      <c r="BF46" s="25">
        <f t="shared" si="39"/>
        <v>4.8526076682333761</v>
      </c>
      <c r="BG46" s="25">
        <f t="shared" si="40"/>
        <v>6.7119345251707241</v>
      </c>
      <c r="BI46" s="27" t="str">
        <f t="shared" si="75"/>
        <v/>
      </c>
      <c r="BJ46" s="27">
        <f t="shared" si="76"/>
        <v>0.60000000000000009</v>
      </c>
      <c r="BP46">
        <f t="shared" si="60"/>
        <v>0.60000000000000031</v>
      </c>
      <c r="BQ46" s="25">
        <f t="shared" si="43"/>
        <v>2.1956986165657857</v>
      </c>
      <c r="BR46" s="25">
        <f t="shared" si="44"/>
        <v>7.1151833756930847</v>
      </c>
      <c r="BS46" s="25"/>
      <c r="BT46" s="25"/>
    </row>
    <row r="47" spans="1:74">
      <c r="A47" t="s">
        <v>156</v>
      </c>
      <c r="B47" s="7">
        <v>44953</v>
      </c>
      <c r="C47" t="s">
        <v>81</v>
      </c>
      <c r="D47">
        <v>6</v>
      </c>
      <c r="E47" t="s">
        <v>17</v>
      </c>
      <c r="I47" s="61">
        <v>16.8</v>
      </c>
      <c r="J47" s="61">
        <v>10.9</v>
      </c>
      <c r="K47" s="61">
        <v>8.3000000000000007</v>
      </c>
      <c r="L47" s="63">
        <f t="shared" si="67"/>
        <v>13.850000000000001</v>
      </c>
      <c r="M47" s="15">
        <f t="shared" si="36"/>
        <v>1</v>
      </c>
      <c r="N47" s="15">
        <f t="shared" si="46"/>
        <v>0.64880952380952384</v>
      </c>
      <c r="O47" s="15">
        <f t="shared" si="47"/>
        <v>0.49404761904761907</v>
      </c>
      <c r="P47" s="15">
        <f t="shared" si="48"/>
        <v>0.82440476190476197</v>
      </c>
      <c r="Q47" s="16">
        <f t="shared" si="49"/>
        <v>0.3303571428571429</v>
      </c>
      <c r="R47" s="16">
        <f t="shared" si="50"/>
        <v>0.35119047619047616</v>
      </c>
      <c r="S47" s="14" t="e">
        <f t="shared" si="38"/>
        <v>#N/A</v>
      </c>
      <c r="T47" s="14">
        <f t="shared" si="62"/>
        <v>0.35119047619047616</v>
      </c>
      <c r="U47" s="22">
        <f t="shared" si="68"/>
        <v>43.249145813457162</v>
      </c>
      <c r="V47" s="22" t="str">
        <f t="shared" si="15"/>
        <v/>
      </c>
      <c r="W47" s="22">
        <f t="shared" si="16"/>
        <v>43.249145813457162</v>
      </c>
      <c r="X47" s="22">
        <f t="shared" si="51"/>
        <v>0.48215204282842988</v>
      </c>
      <c r="Y47" s="22" t="str">
        <f t="shared" si="17"/>
        <v/>
      </c>
      <c r="Z47" s="22">
        <f t="shared" si="18"/>
        <v>0.48215204282842988</v>
      </c>
      <c r="AA47" s="2">
        <f t="shared" si="66"/>
        <v>263.04000000000002</v>
      </c>
      <c r="AB47" s="25" t="str">
        <f t="shared" si="63"/>
        <v/>
      </c>
      <c r="AC47" s="25">
        <f t="shared" si="64"/>
        <v>11.571</v>
      </c>
      <c r="AD47" s="51" t="str">
        <f t="shared" si="21"/>
        <v/>
      </c>
      <c r="AE47" s="51">
        <f t="shared" si="65"/>
        <v>0.57949510354764699</v>
      </c>
      <c r="AF47" s="51" t="str">
        <f t="shared" si="22"/>
        <v/>
      </c>
      <c r="AG47" s="51">
        <f t="shared" si="23"/>
        <v>0.46785426248102235</v>
      </c>
      <c r="AH47" s="51" t="str">
        <f t="shared" si="69"/>
        <v/>
      </c>
      <c r="AI47" s="51">
        <f t="shared" si="70"/>
        <v>0.23619179949498734</v>
      </c>
      <c r="AJ47" s="55" t="str">
        <f t="shared" si="71"/>
        <v/>
      </c>
      <c r="AK47" s="55">
        <f t="shared" si="72"/>
        <v>0.5729329248038828</v>
      </c>
      <c r="AL47" s="55" t="str">
        <f t="shared" si="27"/>
        <v/>
      </c>
      <c r="AM47" s="55" t="str">
        <f t="shared" si="28"/>
        <v/>
      </c>
      <c r="AN47" s="24"/>
      <c r="AO47" s="24"/>
      <c r="AP47" s="24"/>
      <c r="AQ47" s="24"/>
      <c r="AR47" s="24"/>
      <c r="AS47" s="42">
        <f t="shared" si="53"/>
        <v>0</v>
      </c>
      <c r="AT47" s="42">
        <f t="shared" si="54"/>
        <v>0</v>
      </c>
      <c r="AU47" s="42">
        <f t="shared" si="55"/>
        <v>1</v>
      </c>
      <c r="AV47" s="42">
        <f t="shared" si="56"/>
        <v>0</v>
      </c>
      <c r="AW47" s="24"/>
      <c r="AX47" s="24" t="str">
        <f t="shared" si="73"/>
        <v/>
      </c>
      <c r="AY47" s="2">
        <f t="shared" si="74"/>
        <v>42.5</v>
      </c>
      <c r="AZ47" s="24"/>
      <c r="BA47" s="24"/>
      <c r="BB47" s="24"/>
      <c r="BC47" s="24"/>
      <c r="BE47" s="25">
        <f t="shared" si="58"/>
        <v>41.399999999999942</v>
      </c>
      <c r="BF47" s="25">
        <f t="shared" si="39"/>
        <v>5.857442915850525</v>
      </c>
      <c r="BG47" s="25">
        <f t="shared" si="40"/>
        <v>7.6656870050696622</v>
      </c>
      <c r="BI47" s="27" t="str">
        <f t="shared" si="75"/>
        <v/>
      </c>
      <c r="BJ47" s="27">
        <f t="shared" si="76"/>
        <v>0.5</v>
      </c>
      <c r="BP47">
        <f t="shared" si="60"/>
        <v>0.61000000000000032</v>
      </c>
      <c r="BQ47" s="25">
        <f t="shared" si="43"/>
        <v>1.1572363030252788</v>
      </c>
      <c r="BR47" s="25">
        <f t="shared" si="44"/>
        <v>11.170472358435864</v>
      </c>
      <c r="BS47" s="25"/>
      <c r="BT47" s="25"/>
    </row>
    <row r="48" spans="1:74">
      <c r="A48" t="s">
        <v>157</v>
      </c>
      <c r="B48" s="7">
        <v>44953</v>
      </c>
      <c r="C48" t="s">
        <v>81</v>
      </c>
      <c r="D48">
        <v>5</v>
      </c>
      <c r="E48" t="s">
        <v>26</v>
      </c>
      <c r="F48" s="9">
        <v>0</v>
      </c>
      <c r="G48">
        <v>10</v>
      </c>
      <c r="H48">
        <v>10</v>
      </c>
      <c r="I48" s="61">
        <v>25.2</v>
      </c>
      <c r="J48" s="61">
        <v>16.8</v>
      </c>
      <c r="K48" s="61">
        <v>12.3</v>
      </c>
      <c r="L48" s="63">
        <f t="shared" ref="L48:L60" si="77">(I48+J48)/2</f>
        <v>21</v>
      </c>
      <c r="M48" s="15">
        <f t="shared" si="36"/>
        <v>1</v>
      </c>
      <c r="N48" s="15">
        <f t="shared" si="46"/>
        <v>0.66666666666666674</v>
      </c>
      <c r="O48" s="15">
        <f t="shared" si="47"/>
        <v>0.48809523809523814</v>
      </c>
      <c r="P48" s="15">
        <f t="shared" si="48"/>
        <v>0.83333333333333337</v>
      </c>
      <c r="Q48" s="16">
        <f t="shared" si="49"/>
        <v>0.34523809523809523</v>
      </c>
      <c r="R48" s="16">
        <f t="shared" si="50"/>
        <v>0.33333333333333326</v>
      </c>
      <c r="S48" s="14">
        <f t="shared" si="38"/>
        <v>0.33333333333333326</v>
      </c>
      <c r="T48" s="14" t="e">
        <f t="shared" si="62"/>
        <v>#N/A</v>
      </c>
      <c r="U48" s="22">
        <f t="shared" si="68"/>
        <v>46.005086005254185</v>
      </c>
      <c r="V48" s="22">
        <f t="shared" si="15"/>
        <v>46.005086005254185</v>
      </c>
      <c r="W48" s="22" t="str">
        <f t="shared" si="16"/>
        <v/>
      </c>
      <c r="X48" s="22">
        <f t="shared" si="51"/>
        <v>0.47989629454158028</v>
      </c>
      <c r="Y48" s="22">
        <f t="shared" si="17"/>
        <v>0.47989629454158028</v>
      </c>
      <c r="Z48" s="22" t="str">
        <f t="shared" si="18"/>
        <v/>
      </c>
      <c r="AA48" s="2">
        <f t="shared" si="66"/>
        <v>605.94000000000005</v>
      </c>
      <c r="AB48" s="25">
        <f t="shared" si="63"/>
        <v>17.661000000000001</v>
      </c>
      <c r="AC48" s="25" t="str">
        <f t="shared" si="64"/>
        <v/>
      </c>
      <c r="AD48" s="51">
        <f t="shared" si="21"/>
        <v>0.72272582484812264</v>
      </c>
      <c r="AE48" s="51" t="str">
        <f t="shared" si="65"/>
        <v/>
      </c>
      <c r="AF48" s="51">
        <f t="shared" si="22"/>
        <v>0.46078096246840633</v>
      </c>
      <c r="AG48" s="51" t="str">
        <f t="shared" si="23"/>
        <v/>
      </c>
      <c r="AH48" s="51">
        <f t="shared" si="69"/>
        <v>0.18694872188859865</v>
      </c>
      <c r="AI48" s="51" t="str">
        <f t="shared" si="70"/>
        <v/>
      </c>
      <c r="AJ48" s="55">
        <f t="shared" si="71"/>
        <v>0.52555460949121147</v>
      </c>
      <c r="AK48" s="55" t="str">
        <f t="shared" si="72"/>
        <v/>
      </c>
      <c r="AL48" s="55">
        <f t="shared" si="27"/>
        <v>1</v>
      </c>
      <c r="AM48" s="55" t="str">
        <f t="shared" si="28"/>
        <v/>
      </c>
      <c r="AN48" s="24"/>
      <c r="AO48" s="24"/>
      <c r="AP48" s="24"/>
      <c r="AQ48" s="24"/>
      <c r="AR48" s="24"/>
      <c r="AS48" s="42">
        <f t="shared" si="53"/>
        <v>0</v>
      </c>
      <c r="AT48" s="42">
        <f t="shared" si="54"/>
        <v>0</v>
      </c>
      <c r="AU48" s="42">
        <f t="shared" si="55"/>
        <v>1</v>
      </c>
      <c r="AV48" s="42">
        <f t="shared" si="56"/>
        <v>0</v>
      </c>
      <c r="AW48" s="24"/>
      <c r="AX48" s="24">
        <f t="shared" si="73"/>
        <v>45</v>
      </c>
      <c r="AY48" s="2" t="str">
        <f t="shared" si="74"/>
        <v/>
      </c>
      <c r="AZ48" s="24"/>
      <c r="BA48" s="24"/>
      <c r="BB48" s="24"/>
      <c r="BC48" s="24"/>
      <c r="BE48" s="25">
        <f t="shared" si="58"/>
        <v>41.79999999999994</v>
      </c>
      <c r="BF48" s="25">
        <f t="shared" si="39"/>
        <v>6.8510221377323939</v>
      </c>
      <c r="BG48" s="25">
        <f t="shared" si="40"/>
        <v>8.5560608293861744</v>
      </c>
      <c r="BI48" s="27">
        <f t="shared" si="75"/>
        <v>0.5</v>
      </c>
      <c r="BJ48" s="27" t="str">
        <f t="shared" si="76"/>
        <v/>
      </c>
      <c r="BP48">
        <f t="shared" si="60"/>
        <v>0.62000000000000033</v>
      </c>
      <c r="BQ48" s="25">
        <f t="shared" si="43"/>
        <v>0.55144816610178526</v>
      </c>
      <c r="BR48" s="25">
        <f t="shared" si="44"/>
        <v>14.970127428452566</v>
      </c>
      <c r="BS48" s="25"/>
      <c r="BT48" s="25"/>
    </row>
    <row r="49" spans="1:72">
      <c r="A49" t="s">
        <v>158</v>
      </c>
      <c r="B49" s="7">
        <v>44953</v>
      </c>
      <c r="C49" t="s">
        <v>81</v>
      </c>
      <c r="D49">
        <v>6</v>
      </c>
      <c r="E49" t="s">
        <v>26</v>
      </c>
      <c r="F49" s="9">
        <v>0</v>
      </c>
      <c r="I49" s="61">
        <v>19.600000000000001</v>
      </c>
      <c r="J49" s="61">
        <v>14.2</v>
      </c>
      <c r="K49" s="61">
        <v>11</v>
      </c>
      <c r="L49" s="63">
        <f t="shared" si="77"/>
        <v>16.899999999999999</v>
      </c>
      <c r="M49" s="15">
        <f t="shared" si="36"/>
        <v>1</v>
      </c>
      <c r="N49" s="15">
        <f t="shared" si="46"/>
        <v>0.72448979591836726</v>
      </c>
      <c r="O49" s="15">
        <f t="shared" si="47"/>
        <v>0.56122448979591832</v>
      </c>
      <c r="P49" s="15">
        <f t="shared" si="48"/>
        <v>0.86224489795918358</v>
      </c>
      <c r="Q49" s="16">
        <f t="shared" si="49"/>
        <v>0.30102040816326525</v>
      </c>
      <c r="R49" s="16">
        <f t="shared" si="50"/>
        <v>0.27551020408163274</v>
      </c>
      <c r="S49" s="14" t="e">
        <f t="shared" si="38"/>
        <v>#N/A</v>
      </c>
      <c r="T49" s="14">
        <f t="shared" si="62"/>
        <v>0.27551020408163274</v>
      </c>
      <c r="U49" s="22">
        <f t="shared" si="68"/>
        <v>47.533558888394559</v>
      </c>
      <c r="V49" s="22" t="str">
        <f t="shared" si="15"/>
        <v/>
      </c>
      <c r="W49" s="22">
        <f t="shared" si="16"/>
        <v>47.533558888394559</v>
      </c>
      <c r="X49" s="22">
        <f t="shared" si="51"/>
        <v>0.40806759082764921</v>
      </c>
      <c r="Y49" s="22" t="str">
        <f t="shared" si="17"/>
        <v/>
      </c>
      <c r="Z49" s="22">
        <f t="shared" si="18"/>
        <v>0.40806759082764921</v>
      </c>
      <c r="AA49" s="2">
        <f t="shared" si="66"/>
        <v>358.96000000000009</v>
      </c>
      <c r="AB49" s="25" t="str">
        <f t="shared" si="63"/>
        <v/>
      </c>
      <c r="AC49" s="25">
        <f t="shared" si="64"/>
        <v>14.629999999999999</v>
      </c>
      <c r="AD49" s="51" t="str">
        <f t="shared" si="21"/>
        <v/>
      </c>
      <c r="AE49" s="51">
        <f t="shared" si="65"/>
        <v>0.80216306161836726</v>
      </c>
      <c r="AF49" s="51" t="str">
        <f t="shared" si="22"/>
        <v/>
      </c>
      <c r="AG49" s="51">
        <f t="shared" si="23"/>
        <v>0.23554928487041094</v>
      </c>
      <c r="AH49" s="51" t="str">
        <f t="shared" si="69"/>
        <v/>
      </c>
      <c r="AI49" s="51">
        <f t="shared" si="70"/>
        <v>0.49914917291589783</v>
      </c>
      <c r="AJ49" s="55" t="str">
        <f t="shared" si="71"/>
        <v/>
      </c>
      <c r="AK49" s="55">
        <f t="shared" si="72"/>
        <v>0.49927810667745737</v>
      </c>
      <c r="AL49" s="55" t="str">
        <f t="shared" si="27"/>
        <v/>
      </c>
      <c r="AM49" s="55" t="str">
        <f t="shared" si="28"/>
        <v/>
      </c>
      <c r="AN49" s="24"/>
      <c r="AO49" s="24"/>
      <c r="AP49" s="24"/>
      <c r="AQ49" s="24"/>
      <c r="AR49" s="24"/>
      <c r="AS49" s="42">
        <f t="shared" si="53"/>
        <v>0</v>
      </c>
      <c r="AT49" s="42">
        <f t="shared" si="54"/>
        <v>1</v>
      </c>
      <c r="AU49" s="42">
        <f t="shared" si="55"/>
        <v>0</v>
      </c>
      <c r="AV49" s="42">
        <f t="shared" si="56"/>
        <v>0</v>
      </c>
      <c r="AW49" s="24"/>
      <c r="AX49" s="24" t="str">
        <f t="shared" si="73"/>
        <v/>
      </c>
      <c r="AY49" s="2">
        <f t="shared" si="74"/>
        <v>47.5</v>
      </c>
      <c r="AZ49" s="24"/>
      <c r="BA49" s="24"/>
      <c r="BB49" s="24"/>
      <c r="BC49" s="24"/>
      <c r="BE49" s="25">
        <f t="shared" si="58"/>
        <v>42.199999999999939</v>
      </c>
      <c r="BF49" s="25">
        <f t="shared" si="39"/>
        <v>7.7645644328697099</v>
      </c>
      <c r="BG49" s="25">
        <f t="shared" si="40"/>
        <v>9.3328879902772499</v>
      </c>
      <c r="BI49" s="27" t="str">
        <f t="shared" si="75"/>
        <v/>
      </c>
      <c r="BJ49" s="27">
        <f t="shared" si="76"/>
        <v>0.4</v>
      </c>
      <c r="BP49">
        <f t="shared" si="60"/>
        <v>0.63000000000000034</v>
      </c>
      <c r="BQ49" s="25">
        <f t="shared" si="43"/>
        <v>0.23758590433385396</v>
      </c>
      <c r="BR49" s="25">
        <f t="shared" si="44"/>
        <v>17.125685889956134</v>
      </c>
      <c r="BS49" s="25"/>
      <c r="BT49" s="25"/>
    </row>
    <row r="50" spans="1:72">
      <c r="A50" t="s">
        <v>159</v>
      </c>
      <c r="B50" s="7">
        <v>44953</v>
      </c>
      <c r="C50" t="s">
        <v>81</v>
      </c>
      <c r="D50">
        <v>6</v>
      </c>
      <c r="E50" t="s">
        <v>17</v>
      </c>
      <c r="I50" s="61">
        <v>20.9</v>
      </c>
      <c r="J50" s="61">
        <v>12.7</v>
      </c>
      <c r="K50" s="61">
        <v>9</v>
      </c>
      <c r="L50" s="63">
        <f t="shared" si="77"/>
        <v>16.799999999999997</v>
      </c>
      <c r="M50" s="15">
        <f t="shared" si="36"/>
        <v>1</v>
      </c>
      <c r="N50" s="15">
        <f t="shared" si="46"/>
        <v>0.60765550239234456</v>
      </c>
      <c r="O50" s="15">
        <f t="shared" si="47"/>
        <v>0.43062200956937802</v>
      </c>
      <c r="P50" s="15">
        <f t="shared" si="48"/>
        <v>0.80382775119617211</v>
      </c>
      <c r="Q50" s="16">
        <f t="shared" si="49"/>
        <v>0.3732057416267941</v>
      </c>
      <c r="R50" s="16">
        <f t="shared" si="50"/>
        <v>0.39234449760765544</v>
      </c>
      <c r="S50" s="14" t="e">
        <f t="shared" si="38"/>
        <v>#N/A</v>
      </c>
      <c r="T50" s="14">
        <f t="shared" si="62"/>
        <v>0.39234449760765544</v>
      </c>
      <c r="U50" s="22">
        <f t="shared" si="68"/>
        <v>43.567903815835336</v>
      </c>
      <c r="V50" s="22" t="str">
        <f t="shared" si="15"/>
        <v/>
      </c>
      <c r="W50" s="22">
        <f t="shared" si="16"/>
        <v>43.567903815835336</v>
      </c>
      <c r="X50" s="22">
        <f t="shared" si="51"/>
        <v>0.54149490337971684</v>
      </c>
      <c r="Y50" s="22" t="str">
        <f t="shared" si="17"/>
        <v/>
      </c>
      <c r="Z50" s="22">
        <f t="shared" si="18"/>
        <v>0.54149490337971684</v>
      </c>
      <c r="AA50" s="2">
        <f t="shared" si="66"/>
        <v>415.10999999999996</v>
      </c>
      <c r="AB50" s="25" t="str">
        <f t="shared" si="63"/>
        <v/>
      </c>
      <c r="AC50" s="25">
        <f t="shared" si="64"/>
        <v>13.7</v>
      </c>
      <c r="AD50" s="51" t="str">
        <f t="shared" si="21"/>
        <v/>
      </c>
      <c r="AE50" s="51">
        <f t="shared" si="65"/>
        <v>0.59606147851355451</v>
      </c>
      <c r="AF50" s="51" t="str">
        <f t="shared" si="22"/>
        <v/>
      </c>
      <c r="AG50" s="51">
        <f t="shared" si="23"/>
        <v>0.65393435782371423</v>
      </c>
      <c r="AH50" s="51" t="str">
        <f t="shared" si="69"/>
        <v/>
      </c>
      <c r="AI50" s="51">
        <f t="shared" si="70"/>
        <v>5.2548965266830394E-2</v>
      </c>
      <c r="AJ50" s="55" t="str">
        <f t="shared" si="71"/>
        <v/>
      </c>
      <c r="AK50" s="55">
        <f t="shared" si="72"/>
        <v>0.5674530463979357</v>
      </c>
      <c r="AL50" s="55" t="str">
        <f t="shared" si="27"/>
        <v/>
      </c>
      <c r="AM50" s="55">
        <f t="shared" si="28"/>
        <v>1</v>
      </c>
      <c r="AN50" s="24"/>
      <c r="AO50" s="24"/>
      <c r="AP50" s="24"/>
      <c r="AQ50" s="24"/>
      <c r="AR50" s="24"/>
      <c r="AS50" s="42">
        <f t="shared" si="53"/>
        <v>0</v>
      </c>
      <c r="AT50" s="42">
        <f t="shared" si="54"/>
        <v>0</v>
      </c>
      <c r="AU50" s="42">
        <f t="shared" si="55"/>
        <v>0</v>
      </c>
      <c r="AV50" s="42">
        <f t="shared" si="56"/>
        <v>1</v>
      </c>
      <c r="AW50" s="24"/>
      <c r="AX50" s="24" t="str">
        <f t="shared" si="73"/>
        <v/>
      </c>
      <c r="AY50" s="2">
        <f t="shared" si="74"/>
        <v>42.5</v>
      </c>
      <c r="AZ50" s="24"/>
      <c r="BA50" s="24"/>
      <c r="BB50" s="24"/>
      <c r="BC50" s="24"/>
      <c r="BE50" s="25">
        <f t="shared" si="58"/>
        <v>42.599999999999937</v>
      </c>
      <c r="BF50" s="25">
        <f t="shared" si="39"/>
        <v>8.5269407825748971</v>
      </c>
      <c r="BG50" s="25">
        <f t="shared" si="40"/>
        <v>9.9489592728954399</v>
      </c>
      <c r="BI50" s="27" t="str">
        <f t="shared" si="75"/>
        <v/>
      </c>
      <c r="BJ50" s="27">
        <f t="shared" si="76"/>
        <v>0.55000000000000004</v>
      </c>
      <c r="BP50">
        <f t="shared" si="60"/>
        <v>0.64000000000000035</v>
      </c>
      <c r="BQ50" s="25">
        <f t="shared" si="43"/>
        <v>9.2548625195534723E-2</v>
      </c>
      <c r="BR50" s="25">
        <f t="shared" si="44"/>
        <v>16.723954189987168</v>
      </c>
      <c r="BS50" s="25"/>
      <c r="BT50" s="25"/>
    </row>
    <row r="51" spans="1:72">
      <c r="A51" t="s">
        <v>160</v>
      </c>
      <c r="B51" s="7">
        <v>44953</v>
      </c>
      <c r="C51" t="s">
        <v>81</v>
      </c>
      <c r="D51">
        <v>6</v>
      </c>
      <c r="E51" t="s">
        <v>26</v>
      </c>
      <c r="F51" s="9">
        <v>1</v>
      </c>
      <c r="I51" s="61">
        <v>27.6</v>
      </c>
      <c r="J51" s="61">
        <v>19.100000000000001</v>
      </c>
      <c r="K51" s="61">
        <v>15</v>
      </c>
      <c r="L51" s="63">
        <f t="shared" si="77"/>
        <v>23.35</v>
      </c>
      <c r="M51" s="15">
        <f t="shared" si="36"/>
        <v>1</v>
      </c>
      <c r="N51" s="15">
        <f t="shared" si="46"/>
        <v>0.69202898550724634</v>
      </c>
      <c r="O51" s="15">
        <f t="shared" si="47"/>
        <v>0.54347826086956519</v>
      </c>
      <c r="P51" s="15">
        <f t="shared" si="48"/>
        <v>0.84601449275362317</v>
      </c>
      <c r="Q51" s="16">
        <f t="shared" si="49"/>
        <v>0.30253623188405798</v>
      </c>
      <c r="R51" s="16">
        <f t="shared" si="50"/>
        <v>0.30797101449275366</v>
      </c>
      <c r="S51" s="14" t="e">
        <f t="shared" si="38"/>
        <v>#N/A</v>
      </c>
      <c r="T51" s="14">
        <f t="shared" si="62"/>
        <v>0.30797101449275366</v>
      </c>
      <c r="U51" s="22">
        <f t="shared" si="68"/>
        <v>44.489962023033314</v>
      </c>
      <c r="V51" s="22" t="str">
        <f t="shared" si="15"/>
        <v/>
      </c>
      <c r="W51" s="22">
        <f t="shared" si="16"/>
        <v>44.489962023033314</v>
      </c>
      <c r="X51" s="22">
        <f t="shared" si="51"/>
        <v>0.43171091875270007</v>
      </c>
      <c r="Y51" s="22" t="str">
        <f t="shared" si="17"/>
        <v/>
      </c>
      <c r="Z51" s="22">
        <f t="shared" si="18"/>
        <v>0.43171091875270007</v>
      </c>
      <c r="AA51" s="2">
        <f t="shared" si="66"/>
        <v>727.66000000000008</v>
      </c>
      <c r="AB51" s="25" t="str">
        <f t="shared" si="63"/>
        <v/>
      </c>
      <c r="AC51" s="25">
        <f t="shared" si="64"/>
        <v>19.940000000000001</v>
      </c>
      <c r="AD51" s="51" t="str">
        <f t="shared" si="21"/>
        <v/>
      </c>
      <c r="AE51" s="51">
        <f t="shared" si="65"/>
        <v>0.64398235230141232</v>
      </c>
      <c r="AF51" s="51" t="str">
        <f t="shared" si="22"/>
        <v/>
      </c>
      <c r="AG51" s="51">
        <f t="shared" si="23"/>
        <v>0.30968714532473957</v>
      </c>
      <c r="AH51" s="51" t="str">
        <f t="shared" si="69"/>
        <v/>
      </c>
      <c r="AI51" s="51">
        <f t="shared" si="70"/>
        <v>0.39148032860962234</v>
      </c>
      <c r="AJ51" s="55" t="str">
        <f t="shared" si="71"/>
        <v/>
      </c>
      <c r="AK51" s="55">
        <f t="shared" si="72"/>
        <v>0.55160162675998736</v>
      </c>
      <c r="AL51" s="55" t="str">
        <f t="shared" si="27"/>
        <v/>
      </c>
      <c r="AM51" s="55" t="str">
        <f t="shared" si="28"/>
        <v/>
      </c>
      <c r="AN51" s="24"/>
      <c r="AO51" s="24"/>
      <c r="AP51" s="24"/>
      <c r="AQ51" s="24"/>
      <c r="AR51" s="24"/>
      <c r="AS51" s="42">
        <f t="shared" si="53"/>
        <v>0</v>
      </c>
      <c r="AT51" s="42">
        <f t="shared" si="54"/>
        <v>0</v>
      </c>
      <c r="AU51" s="42">
        <f t="shared" si="55"/>
        <v>1</v>
      </c>
      <c r="AV51" s="42">
        <f t="shared" si="56"/>
        <v>0</v>
      </c>
      <c r="AW51" s="24"/>
      <c r="AX51" s="24" t="str">
        <f t="shared" si="73"/>
        <v/>
      </c>
      <c r="AY51" s="2">
        <f t="shared" si="74"/>
        <v>45</v>
      </c>
      <c r="AZ51" s="24"/>
      <c r="BA51" s="24"/>
      <c r="BB51" s="24"/>
      <c r="BC51" s="24"/>
      <c r="BE51" s="25">
        <f t="shared" si="58"/>
        <v>42.999999999999936</v>
      </c>
      <c r="BF51" s="25">
        <f t="shared" si="39"/>
        <v>9.0736874791313546</v>
      </c>
      <c r="BG51" s="25">
        <f t="shared" si="40"/>
        <v>10.36474595463755</v>
      </c>
      <c r="BI51" s="27" t="str">
        <f t="shared" si="75"/>
        <v/>
      </c>
      <c r="BJ51" s="27">
        <f t="shared" si="76"/>
        <v>0.45</v>
      </c>
      <c r="BP51">
        <f t="shared" si="60"/>
        <v>0.65000000000000036</v>
      </c>
      <c r="BQ51" s="25">
        <f t="shared" si="43"/>
        <v>3.25951211146773E-2</v>
      </c>
      <c r="BR51" s="25">
        <f t="shared" si="44"/>
        <v>13.941146226149971</v>
      </c>
      <c r="BS51" s="25"/>
      <c r="BT51" s="25"/>
    </row>
    <row r="52" spans="1:72">
      <c r="A52" t="s">
        <v>161</v>
      </c>
      <c r="B52" s="7">
        <v>44953</v>
      </c>
      <c r="C52" t="s">
        <v>81</v>
      </c>
      <c r="D52">
        <v>6</v>
      </c>
      <c r="E52" t="s">
        <v>26</v>
      </c>
      <c r="F52" s="9">
        <v>1</v>
      </c>
      <c r="I52" s="61">
        <v>21</v>
      </c>
      <c r="J52" s="61">
        <v>14.3</v>
      </c>
      <c r="K52" s="61">
        <v>10.7</v>
      </c>
      <c r="L52" s="63">
        <f t="shared" si="77"/>
        <v>17.649999999999999</v>
      </c>
      <c r="M52" s="15">
        <f t="shared" si="36"/>
        <v>1</v>
      </c>
      <c r="N52" s="15">
        <f t="shared" si="46"/>
        <v>0.68095238095238098</v>
      </c>
      <c r="O52" s="15">
        <f t="shared" si="47"/>
        <v>0.50952380952380949</v>
      </c>
      <c r="P52" s="15">
        <f t="shared" si="48"/>
        <v>0.84047619047619038</v>
      </c>
      <c r="Q52" s="16">
        <f t="shared" si="49"/>
        <v>0.33095238095238089</v>
      </c>
      <c r="R52" s="16">
        <f t="shared" si="50"/>
        <v>0.31904761904761902</v>
      </c>
      <c r="S52" s="14" t="e">
        <f t="shared" si="38"/>
        <v>#N/A</v>
      </c>
      <c r="T52" s="14">
        <f t="shared" si="62"/>
        <v>0.31904761904761902</v>
      </c>
      <c r="U52" s="22">
        <f t="shared" si="68"/>
        <v>46.049255940880073</v>
      </c>
      <c r="V52" s="22" t="str">
        <f t="shared" si="15"/>
        <v/>
      </c>
      <c r="W52" s="22">
        <f t="shared" si="16"/>
        <v>46.049255940880073</v>
      </c>
      <c r="X52" s="22">
        <f t="shared" si="51"/>
        <v>0.45969648865094076</v>
      </c>
      <c r="Y52" s="22" t="str">
        <f t="shared" si="17"/>
        <v/>
      </c>
      <c r="Z52" s="22">
        <f t="shared" si="18"/>
        <v>0.45969648865094076</v>
      </c>
      <c r="AA52" s="2">
        <f t="shared" si="66"/>
        <v>416</v>
      </c>
      <c r="AB52" s="25" t="str">
        <f t="shared" si="63"/>
        <v/>
      </c>
      <c r="AC52" s="25">
        <f t="shared" si="64"/>
        <v>14.959000000000001</v>
      </c>
      <c r="AD52" s="51" t="str">
        <f t="shared" si="21"/>
        <v/>
      </c>
      <c r="AE52" s="51">
        <f t="shared" si="65"/>
        <v>0.72502140867767095</v>
      </c>
      <c r="AF52" s="51" t="str">
        <f t="shared" si="22"/>
        <v/>
      </c>
      <c r="AG52" s="51">
        <f t="shared" si="23"/>
        <v>0.39744087789689242</v>
      </c>
      <c r="AH52" s="51" t="str">
        <f t="shared" si="69"/>
        <v/>
      </c>
      <c r="AI52" s="51">
        <f t="shared" si="70"/>
        <v>0.32054508768233353</v>
      </c>
      <c r="AJ52" s="55" t="str">
        <f t="shared" si="71"/>
        <v/>
      </c>
      <c r="AK52" s="55">
        <f t="shared" si="72"/>
        <v>0.52479526894251138</v>
      </c>
      <c r="AL52" s="55" t="str">
        <f t="shared" si="27"/>
        <v/>
      </c>
      <c r="AM52" s="55" t="str">
        <f t="shared" si="28"/>
        <v/>
      </c>
      <c r="AN52" s="24"/>
      <c r="AO52" s="24"/>
      <c r="AP52" s="24"/>
      <c r="AQ52" s="24"/>
      <c r="AR52" s="24"/>
      <c r="AS52" s="42">
        <f t="shared" si="53"/>
        <v>0</v>
      </c>
      <c r="AT52" s="42">
        <f t="shared" si="54"/>
        <v>0</v>
      </c>
      <c r="AU52" s="42">
        <f t="shared" si="55"/>
        <v>0</v>
      </c>
      <c r="AV52" s="42">
        <f t="shared" si="56"/>
        <v>1</v>
      </c>
      <c r="AW52" s="24"/>
      <c r="AX52" s="24" t="str">
        <f t="shared" si="73"/>
        <v/>
      </c>
      <c r="AY52" s="2">
        <f t="shared" si="74"/>
        <v>45</v>
      </c>
      <c r="AZ52" s="24"/>
      <c r="BA52" s="24"/>
      <c r="BB52" s="24"/>
      <c r="BC52" s="24"/>
      <c r="BE52" s="25">
        <f t="shared" si="58"/>
        <v>43.399999999999935</v>
      </c>
      <c r="BF52" s="25">
        <f t="shared" si="39"/>
        <v>9.3559697373311099</v>
      </c>
      <c r="BG52" s="25">
        <f t="shared" si="40"/>
        <v>10.552590364858256</v>
      </c>
      <c r="BI52" s="27" t="str">
        <f t="shared" si="75"/>
        <v/>
      </c>
      <c r="BJ52" s="27">
        <f t="shared" si="76"/>
        <v>0.45</v>
      </c>
      <c r="BP52">
        <f t="shared" si="60"/>
        <v>0.66000000000000036</v>
      </c>
      <c r="BQ52" s="25">
        <f t="shared" si="43"/>
        <v>1.0379311668705333E-2</v>
      </c>
      <c r="BR52" s="25">
        <f t="shared" si="44"/>
        <v>9.9203390119999035</v>
      </c>
      <c r="BS52" s="25"/>
      <c r="BT52" s="25"/>
    </row>
    <row r="53" spans="1:72">
      <c r="A53" t="s">
        <v>108</v>
      </c>
      <c r="B53" s="7">
        <v>44954</v>
      </c>
      <c r="C53" t="s">
        <v>81</v>
      </c>
      <c r="D53">
        <v>6</v>
      </c>
      <c r="E53" t="s">
        <v>17</v>
      </c>
      <c r="I53" s="61">
        <v>39.4</v>
      </c>
      <c r="J53" s="61">
        <v>23.3</v>
      </c>
      <c r="K53" s="61">
        <v>12.8</v>
      </c>
      <c r="L53" s="63">
        <f t="shared" si="77"/>
        <v>31.35</v>
      </c>
      <c r="M53" s="15">
        <f t="shared" si="36"/>
        <v>1</v>
      </c>
      <c r="N53" s="15">
        <f t="shared" si="46"/>
        <v>0.59137055837563457</v>
      </c>
      <c r="O53" s="15">
        <f t="shared" si="47"/>
        <v>0.32487309644670054</v>
      </c>
      <c r="P53" s="15">
        <f t="shared" si="48"/>
        <v>0.79568527918781728</v>
      </c>
      <c r="Q53" s="16">
        <f t="shared" si="49"/>
        <v>0.47081218274111675</v>
      </c>
      <c r="R53" s="16">
        <f t="shared" si="50"/>
        <v>0.40862944162436543</v>
      </c>
      <c r="S53" s="14" t="e">
        <f t="shared" si="38"/>
        <v>#N/A</v>
      </c>
      <c r="T53" s="14">
        <f t="shared" si="62"/>
        <v>0.40862944162436543</v>
      </c>
      <c r="U53" s="22">
        <f t="shared" si="68"/>
        <v>49.04448557418111</v>
      </c>
      <c r="V53" s="22" t="str">
        <f t="shared" si="15"/>
        <v/>
      </c>
      <c r="W53" s="22">
        <f t="shared" si="16"/>
        <v>49.04448557418111</v>
      </c>
      <c r="X53" s="22">
        <f t="shared" si="51"/>
        <v>0.62341168739420938</v>
      </c>
      <c r="Y53" s="22" t="str">
        <f t="shared" si="17"/>
        <v/>
      </c>
      <c r="Z53" s="22">
        <f t="shared" si="18"/>
        <v>0.62341168739420938</v>
      </c>
      <c r="AA53" s="2">
        <f t="shared" si="66"/>
        <v>1516.26</v>
      </c>
      <c r="AB53" s="25" t="str">
        <f t="shared" si="63"/>
        <v/>
      </c>
      <c r="AC53" s="25">
        <f t="shared" si="64"/>
        <v>25.085999999999999</v>
      </c>
      <c r="AD53" s="51" t="str">
        <f t="shared" si="21"/>
        <v/>
      </c>
      <c r="AE53" s="51">
        <f t="shared" si="65"/>
        <v>0.88068839380136821</v>
      </c>
      <c r="AF53" s="51" t="str">
        <f t="shared" si="22"/>
        <v/>
      </c>
      <c r="AG53" s="51">
        <f t="shared" si="23"/>
        <v>0.91079900570177985</v>
      </c>
      <c r="AH53" s="51" t="str">
        <f t="shared" si="69"/>
        <v/>
      </c>
      <c r="AI53" s="51">
        <f t="shared" si="70"/>
        <v>0.33458429199466666</v>
      </c>
      <c r="AJ53" s="55" t="str">
        <f t="shared" si="71"/>
        <v/>
      </c>
      <c r="AK53" s="55">
        <f t="shared" si="72"/>
        <v>0.47330324657468886</v>
      </c>
      <c r="AL53" s="55" t="str">
        <f t="shared" si="27"/>
        <v/>
      </c>
      <c r="AM53" s="55">
        <f t="shared" si="28"/>
        <v>1</v>
      </c>
      <c r="AN53" s="24"/>
      <c r="AO53" s="24"/>
      <c r="AP53" s="24"/>
      <c r="AQ53" s="24"/>
      <c r="AR53" s="24"/>
      <c r="AS53" s="42">
        <f t="shared" si="53"/>
        <v>0</v>
      </c>
      <c r="AT53" s="42">
        <f t="shared" si="54"/>
        <v>0</v>
      </c>
      <c r="AU53" s="42">
        <f t="shared" si="55"/>
        <v>0</v>
      </c>
      <c r="AV53" s="42">
        <f t="shared" si="56"/>
        <v>1</v>
      </c>
      <c r="AW53" s="24"/>
      <c r="AX53" s="24" t="str">
        <f t="shared" si="73"/>
        <v/>
      </c>
      <c r="AY53" s="2">
        <f t="shared" si="74"/>
        <v>50</v>
      </c>
      <c r="AZ53" s="24"/>
      <c r="BA53" s="24"/>
      <c r="BB53" s="24"/>
      <c r="BC53" s="24"/>
      <c r="BE53" s="25">
        <f t="shared" si="58"/>
        <v>43.799999999999933</v>
      </c>
      <c r="BF53" s="25">
        <f t="shared" si="39"/>
        <v>9.3477743692639219</v>
      </c>
      <c r="BG53" s="25">
        <f t="shared" si="40"/>
        <v>10.499748757448119</v>
      </c>
      <c r="BI53" s="27" t="str">
        <f t="shared" si="75"/>
        <v/>
      </c>
      <c r="BJ53" s="27">
        <f t="shared" si="76"/>
        <v>0.60000000000000009</v>
      </c>
      <c r="BP53">
        <f t="shared" si="60"/>
        <v>0.67000000000000037</v>
      </c>
      <c r="BQ53" s="25">
        <f t="shared" si="43"/>
        <v>2.9882562305289942E-3</v>
      </c>
      <c r="BR53" s="25">
        <f t="shared" si="44"/>
        <v>6.0259158571417046</v>
      </c>
      <c r="BS53" s="25"/>
      <c r="BT53" s="25"/>
    </row>
    <row r="54" spans="1:72">
      <c r="A54" t="s">
        <v>162</v>
      </c>
      <c r="B54" s="7">
        <v>44954</v>
      </c>
      <c r="C54" t="s">
        <v>81</v>
      </c>
      <c r="D54">
        <v>5</v>
      </c>
      <c r="E54" t="s">
        <v>17</v>
      </c>
      <c r="G54">
        <v>10</v>
      </c>
      <c r="H54">
        <v>10</v>
      </c>
      <c r="I54" s="61">
        <v>15.5</v>
      </c>
      <c r="J54" s="61">
        <v>9.6999999999999993</v>
      </c>
      <c r="K54" s="61">
        <v>8.9</v>
      </c>
      <c r="L54" s="63">
        <f t="shared" si="77"/>
        <v>12.6</v>
      </c>
      <c r="M54" s="15">
        <f t="shared" si="36"/>
        <v>1</v>
      </c>
      <c r="N54" s="15">
        <f t="shared" si="46"/>
        <v>0.62580645161290316</v>
      </c>
      <c r="O54" s="15">
        <f t="shared" si="47"/>
        <v>0.5741935483870968</v>
      </c>
      <c r="P54" s="15">
        <f t="shared" si="48"/>
        <v>0.81290322580645158</v>
      </c>
      <c r="Q54" s="16">
        <f t="shared" si="49"/>
        <v>0.23870967741935478</v>
      </c>
      <c r="R54" s="16">
        <f t="shared" si="50"/>
        <v>0.37419354838709684</v>
      </c>
      <c r="S54" s="14">
        <f t="shared" si="38"/>
        <v>0.37419354838709684</v>
      </c>
      <c r="T54" s="14" t="e">
        <f t="shared" si="62"/>
        <v>#N/A</v>
      </c>
      <c r="U54" s="22">
        <f t="shared" si="68"/>
        <v>32.535067157935003</v>
      </c>
      <c r="V54" s="22">
        <f t="shared" si="15"/>
        <v>32.535067157935003</v>
      </c>
      <c r="W54" s="22" t="str">
        <f t="shared" si="16"/>
        <v/>
      </c>
      <c r="X54" s="22">
        <f t="shared" si="51"/>
        <v>0.44385033710495142</v>
      </c>
      <c r="Y54" s="22">
        <f t="shared" si="17"/>
        <v>0.44385033710495142</v>
      </c>
      <c r="Z54" s="22" t="str">
        <f t="shared" si="18"/>
        <v/>
      </c>
      <c r="AA54" s="2">
        <f t="shared" si="66"/>
        <v>221.65</v>
      </c>
      <c r="AB54" s="25">
        <f t="shared" si="63"/>
        <v>10.512999999999998</v>
      </c>
      <c r="AC54" s="25" t="str">
        <f t="shared" si="64"/>
        <v/>
      </c>
      <c r="AD54" s="51">
        <f t="shared" si="21"/>
        <v>2.2666904420496767E-2</v>
      </c>
      <c r="AE54" s="51" t="str">
        <f t="shared" si="65"/>
        <v/>
      </c>
      <c r="AF54" s="51">
        <f t="shared" si="22"/>
        <v>0.34775245096398322</v>
      </c>
      <c r="AG54" s="51" t="str">
        <f t="shared" si="23"/>
        <v/>
      </c>
      <c r="AH54" s="51">
        <f t="shared" si="69"/>
        <v>0.52301902368338082</v>
      </c>
      <c r="AI54" s="51" t="str">
        <f t="shared" si="70"/>
        <v/>
      </c>
      <c r="AJ54" s="55">
        <f t="shared" si="71"/>
        <v>0.75712233440609134</v>
      </c>
      <c r="AK54" s="55" t="str">
        <f t="shared" si="72"/>
        <v/>
      </c>
      <c r="AL54" s="55">
        <f t="shared" si="27"/>
        <v>1</v>
      </c>
      <c r="AM54" s="55" t="str">
        <f t="shared" si="28"/>
        <v/>
      </c>
      <c r="AN54" s="24"/>
      <c r="AO54" s="24"/>
      <c r="AP54" s="24"/>
      <c r="AQ54" s="24"/>
      <c r="AR54" s="24"/>
      <c r="AS54" s="42">
        <f t="shared" si="53"/>
        <v>0</v>
      </c>
      <c r="AT54" s="42">
        <f t="shared" si="54"/>
        <v>0</v>
      </c>
      <c r="AU54" s="42">
        <f t="shared" si="55"/>
        <v>1</v>
      </c>
      <c r="AV54" s="42">
        <f t="shared" si="56"/>
        <v>0</v>
      </c>
      <c r="AW54" s="24"/>
      <c r="AX54" s="24">
        <f t="shared" si="73"/>
        <v>32.5</v>
      </c>
      <c r="AY54" s="2" t="str">
        <f t="shared" si="74"/>
        <v/>
      </c>
      <c r="AZ54" s="24"/>
      <c r="BA54" s="24"/>
      <c r="BB54" s="24"/>
      <c r="BC54" s="24"/>
      <c r="BE54" s="25">
        <f t="shared" si="58"/>
        <v>44.199999999999932</v>
      </c>
      <c r="BF54" s="25">
        <f t="shared" si="39"/>
        <v>9.0498640512786093</v>
      </c>
      <c r="BG54" s="25">
        <f t="shared" si="40"/>
        <v>10.209821372896068</v>
      </c>
      <c r="BI54" s="27">
        <f t="shared" si="75"/>
        <v>0.45</v>
      </c>
      <c r="BJ54" s="27" t="str">
        <f t="shared" si="76"/>
        <v/>
      </c>
      <c r="BP54">
        <f t="shared" si="60"/>
        <v>0.68000000000000038</v>
      </c>
      <c r="BQ54" s="25">
        <f t="shared" si="43"/>
        <v>7.7785821178682699E-4</v>
      </c>
      <c r="BR54" s="25">
        <f t="shared" si="44"/>
        <v>3.1245546893960663</v>
      </c>
      <c r="BS54" s="25"/>
      <c r="BT54" s="25"/>
    </row>
    <row r="55" spans="1:72">
      <c r="A55" t="s">
        <v>163</v>
      </c>
      <c r="B55" s="7">
        <v>44954</v>
      </c>
      <c r="C55" t="s">
        <v>81</v>
      </c>
      <c r="D55">
        <v>6</v>
      </c>
      <c r="E55" t="s">
        <v>26</v>
      </c>
      <c r="F55" s="9">
        <v>0</v>
      </c>
      <c r="I55" s="61">
        <v>30.5</v>
      </c>
      <c r="J55" s="61">
        <v>17.600000000000001</v>
      </c>
      <c r="K55" s="61">
        <v>10.5</v>
      </c>
      <c r="L55" s="63">
        <f t="shared" si="77"/>
        <v>24.05</v>
      </c>
      <c r="M55" s="15">
        <f t="shared" si="36"/>
        <v>1</v>
      </c>
      <c r="N55" s="15">
        <f t="shared" si="46"/>
        <v>0.57704918032786889</v>
      </c>
      <c r="O55" s="15">
        <f t="shared" si="47"/>
        <v>0.34426229508196721</v>
      </c>
      <c r="P55" s="15">
        <f t="shared" si="48"/>
        <v>0.7885245901639345</v>
      </c>
      <c r="Q55" s="16">
        <f t="shared" si="49"/>
        <v>0.4442622950819673</v>
      </c>
      <c r="R55" s="16">
        <f t="shared" si="50"/>
        <v>0.42295081967213111</v>
      </c>
      <c r="S55" s="14" t="e">
        <f t="shared" si="38"/>
        <v>#N/A</v>
      </c>
      <c r="T55" s="14">
        <f t="shared" si="62"/>
        <v>0.42295081967213111</v>
      </c>
      <c r="U55" s="22">
        <f t="shared" si="68"/>
        <v>46.407741487874077</v>
      </c>
      <c r="V55" s="22" t="str">
        <f t="shared" si="15"/>
        <v/>
      </c>
      <c r="W55" s="22">
        <f t="shared" si="16"/>
        <v>46.407741487874077</v>
      </c>
      <c r="X55" s="22">
        <f t="shared" si="51"/>
        <v>0.61339741007997794</v>
      </c>
      <c r="Y55" s="22" t="str">
        <f t="shared" si="17"/>
        <v/>
      </c>
      <c r="Z55" s="22">
        <f t="shared" si="18"/>
        <v>0.61339741007997794</v>
      </c>
      <c r="AA55" s="2">
        <f t="shared" si="66"/>
        <v>902.15</v>
      </c>
      <c r="AB55" s="25" t="str">
        <f t="shared" si="63"/>
        <v/>
      </c>
      <c r="AC55" s="25">
        <f t="shared" si="64"/>
        <v>19.155000000000001</v>
      </c>
      <c r="AD55" s="51" t="str">
        <f t="shared" si="21"/>
        <v/>
      </c>
      <c r="AE55" s="51">
        <f t="shared" si="65"/>
        <v>0.7436524891432692</v>
      </c>
      <c r="AF55" s="51" t="str">
        <f t="shared" si="22"/>
        <v/>
      </c>
      <c r="AG55" s="51">
        <f t="shared" si="23"/>
        <v>0.87939745781364165</v>
      </c>
      <c r="AH55" s="51" t="str">
        <f t="shared" si="69"/>
        <v/>
      </c>
      <c r="AI55" s="51">
        <f t="shared" si="70"/>
        <v>0.21722748532768982</v>
      </c>
      <c r="AJ55" s="55" t="str">
        <f t="shared" si="71"/>
        <v/>
      </c>
      <c r="AK55" s="55">
        <f t="shared" si="72"/>
        <v>0.51863242065898518</v>
      </c>
      <c r="AL55" s="55" t="str">
        <f t="shared" si="27"/>
        <v/>
      </c>
      <c r="AM55" s="55">
        <f t="shared" si="28"/>
        <v>1</v>
      </c>
      <c r="AN55" s="24"/>
      <c r="AO55" s="24"/>
      <c r="AP55" s="24"/>
      <c r="AQ55" s="24"/>
      <c r="AR55" s="24"/>
      <c r="AS55" s="42">
        <f t="shared" si="53"/>
        <v>1</v>
      </c>
      <c r="AT55" s="42">
        <f t="shared" si="54"/>
        <v>0</v>
      </c>
      <c r="AU55" s="42">
        <f t="shared" si="55"/>
        <v>0</v>
      </c>
      <c r="AV55" s="42">
        <f t="shared" si="56"/>
        <v>0</v>
      </c>
      <c r="AW55" s="24"/>
      <c r="AX55" s="24" t="str">
        <f t="shared" si="73"/>
        <v/>
      </c>
      <c r="AY55" s="2">
        <f t="shared" si="74"/>
        <v>47.5</v>
      </c>
      <c r="AZ55" s="24"/>
      <c r="BA55" s="24"/>
      <c r="BB55" s="24"/>
      <c r="BC55" s="24"/>
      <c r="BE55" s="25">
        <f t="shared" si="58"/>
        <v>44.59999999999993</v>
      </c>
      <c r="BF55" s="25">
        <f t="shared" si="39"/>
        <v>8.4896602536726924</v>
      </c>
      <c r="BG55" s="25">
        <f t="shared" si="40"/>
        <v>9.7023467098185261</v>
      </c>
      <c r="BI55" s="27" t="str">
        <f t="shared" si="75"/>
        <v/>
      </c>
      <c r="BJ55" s="27">
        <f t="shared" si="76"/>
        <v>0.60000000000000009</v>
      </c>
      <c r="BP55">
        <f t="shared" si="60"/>
        <v>0.69000000000000039</v>
      </c>
      <c r="BQ55" s="25">
        <f t="shared" si="43"/>
        <v>1.8306965988589861E-4</v>
      </c>
      <c r="BR55" s="25">
        <f t="shared" si="44"/>
        <v>1.3829985224376813</v>
      </c>
      <c r="BS55" s="25"/>
      <c r="BT55" s="25"/>
    </row>
    <row r="56" spans="1:72">
      <c r="A56" t="s">
        <v>164</v>
      </c>
      <c r="B56" s="7">
        <v>44954</v>
      </c>
      <c r="C56" t="s">
        <v>81</v>
      </c>
      <c r="D56">
        <v>5</v>
      </c>
      <c r="E56" t="s">
        <v>26</v>
      </c>
      <c r="F56" s="9">
        <v>0</v>
      </c>
      <c r="G56">
        <v>10</v>
      </c>
      <c r="H56">
        <v>10</v>
      </c>
      <c r="I56" s="61">
        <v>18.899999999999999</v>
      </c>
      <c r="J56" s="61">
        <v>11.9</v>
      </c>
      <c r="K56" s="61">
        <v>9.3000000000000007</v>
      </c>
      <c r="L56" s="63">
        <f t="shared" si="77"/>
        <v>15.399999999999999</v>
      </c>
      <c r="M56" s="15">
        <f t="shared" si="36"/>
        <v>1</v>
      </c>
      <c r="N56" s="15">
        <f t="shared" si="46"/>
        <v>0.62962962962962965</v>
      </c>
      <c r="O56" s="15">
        <f t="shared" si="47"/>
        <v>0.49206349206349215</v>
      </c>
      <c r="P56" s="15">
        <f t="shared" si="48"/>
        <v>0.81481481481481477</v>
      </c>
      <c r="Q56" s="16">
        <f t="shared" si="49"/>
        <v>0.32275132275132262</v>
      </c>
      <c r="R56" s="16">
        <f t="shared" si="50"/>
        <v>0.37037037037037035</v>
      </c>
      <c r="S56" s="14">
        <f t="shared" si="38"/>
        <v>0.37037037037037035</v>
      </c>
      <c r="T56" s="14" t="e">
        <f t="shared" si="62"/>
        <v>#N/A</v>
      </c>
      <c r="U56" s="22">
        <f t="shared" si="68"/>
        <v>41.06982445427451</v>
      </c>
      <c r="V56" s="22">
        <f t="shared" si="15"/>
        <v>41.06982445427451</v>
      </c>
      <c r="W56" s="22" t="str">
        <f t="shared" si="16"/>
        <v/>
      </c>
      <c r="X56" s="22">
        <f t="shared" si="51"/>
        <v>0.491266350960468</v>
      </c>
      <c r="Y56" s="22">
        <f t="shared" si="17"/>
        <v>0.491266350960468</v>
      </c>
      <c r="Z56" s="22" t="str">
        <f t="shared" si="18"/>
        <v/>
      </c>
      <c r="AA56" s="2">
        <f t="shared" si="66"/>
        <v>336.00999999999993</v>
      </c>
      <c r="AB56" s="25">
        <f t="shared" si="63"/>
        <v>12.760999999999999</v>
      </c>
      <c r="AC56" s="25" t="str">
        <f t="shared" si="64"/>
        <v/>
      </c>
      <c r="AD56" s="51">
        <f t="shared" si="21"/>
        <v>0.4662322064969936</v>
      </c>
      <c r="AE56" s="51" t="str">
        <f t="shared" si="65"/>
        <v/>
      </c>
      <c r="AF56" s="51">
        <f t="shared" si="22"/>
        <v>0.49643379690920458</v>
      </c>
      <c r="AG56" s="51" t="str">
        <f t="shared" si="23"/>
        <v/>
      </c>
      <c r="AH56" s="51">
        <f t="shared" si="69"/>
        <v>8.6307038352940305E-2</v>
      </c>
      <c r="AI56" s="51" t="str">
        <f t="shared" si="70"/>
        <v/>
      </c>
      <c r="AJ56" s="55">
        <f t="shared" si="71"/>
        <v>0.61039838752703024</v>
      </c>
      <c r="AK56" s="55" t="str">
        <f t="shared" si="72"/>
        <v/>
      </c>
      <c r="AL56" s="55">
        <f t="shared" si="27"/>
        <v>1</v>
      </c>
      <c r="AM56" s="55" t="str">
        <f t="shared" si="28"/>
        <v/>
      </c>
      <c r="AN56" s="24"/>
      <c r="AO56" s="24"/>
      <c r="AP56" s="24"/>
      <c r="AQ56" s="24"/>
      <c r="AR56" s="24"/>
      <c r="AS56" s="42">
        <f t="shared" si="53"/>
        <v>0</v>
      </c>
      <c r="AT56" s="42">
        <f t="shared" si="54"/>
        <v>0</v>
      </c>
      <c r="AU56" s="42">
        <f t="shared" si="55"/>
        <v>0</v>
      </c>
      <c r="AV56" s="42">
        <f t="shared" si="56"/>
        <v>1</v>
      </c>
      <c r="AW56" s="24"/>
      <c r="AX56" s="24">
        <f t="shared" si="73"/>
        <v>40</v>
      </c>
      <c r="AY56" s="2" t="str">
        <f t="shared" si="74"/>
        <v/>
      </c>
      <c r="AZ56" s="24"/>
      <c r="BA56" s="24"/>
      <c r="BB56" s="24"/>
      <c r="BC56" s="24"/>
      <c r="BE56" s="25">
        <f t="shared" si="58"/>
        <v>44.999999999999929</v>
      </c>
      <c r="BF56" s="25">
        <f t="shared" si="39"/>
        <v>7.7170797328936578</v>
      </c>
      <c r="BG56" s="25">
        <f t="shared" si="40"/>
        <v>9.0106235364659959</v>
      </c>
      <c r="BI56" s="27">
        <f t="shared" si="75"/>
        <v>0.5</v>
      </c>
      <c r="BJ56" s="27" t="str">
        <f t="shared" si="76"/>
        <v/>
      </c>
      <c r="BP56">
        <f t="shared" si="60"/>
        <v>0.7000000000000004</v>
      </c>
      <c r="BQ56" s="25">
        <f t="shared" si="43"/>
        <v>3.8955217643388211E-5</v>
      </c>
      <c r="BR56" s="25">
        <f t="shared" si="44"/>
        <v>0.52254514827572074</v>
      </c>
      <c r="BS56" s="25"/>
      <c r="BT56" s="25"/>
    </row>
    <row r="57" spans="1:72">
      <c r="A57" t="s">
        <v>165</v>
      </c>
      <c r="B57" s="7">
        <v>44954</v>
      </c>
      <c r="C57" t="s">
        <v>81</v>
      </c>
      <c r="D57">
        <v>6</v>
      </c>
      <c r="E57" t="s">
        <v>26</v>
      </c>
      <c r="F57" s="9">
        <v>0</v>
      </c>
      <c r="I57" s="61">
        <v>22</v>
      </c>
      <c r="J57" s="61">
        <v>15.8</v>
      </c>
      <c r="K57" s="61">
        <v>12.3</v>
      </c>
      <c r="L57" s="63">
        <f t="shared" si="77"/>
        <v>18.899999999999999</v>
      </c>
      <c r="M57" s="15">
        <f t="shared" si="36"/>
        <v>1</v>
      </c>
      <c r="N57" s="15">
        <f t="shared" si="46"/>
        <v>0.71818181818181825</v>
      </c>
      <c r="O57" s="15">
        <f t="shared" si="47"/>
        <v>0.55909090909090908</v>
      </c>
      <c r="P57" s="15">
        <f t="shared" si="48"/>
        <v>0.85909090909090902</v>
      </c>
      <c r="Q57" s="16">
        <f t="shared" si="49"/>
        <v>0.29999999999999993</v>
      </c>
      <c r="R57" s="16">
        <f t="shared" si="50"/>
        <v>0.28181818181818175</v>
      </c>
      <c r="S57" s="14" t="e">
        <f t="shared" si="38"/>
        <v>#N/A</v>
      </c>
      <c r="T57" s="14">
        <f t="shared" si="62"/>
        <v>0.28181818181818175</v>
      </c>
      <c r="U57" s="22">
        <f t="shared" si="68"/>
        <v>46.789910608246068</v>
      </c>
      <c r="V57" s="22" t="str">
        <f t="shared" si="15"/>
        <v/>
      </c>
      <c r="W57" s="22">
        <f t="shared" si="16"/>
        <v>46.789910608246068</v>
      </c>
      <c r="X57" s="22">
        <f t="shared" si="51"/>
        <v>0.41160841536988246</v>
      </c>
      <c r="Y57" s="22" t="str">
        <f t="shared" si="17"/>
        <v/>
      </c>
      <c r="Z57" s="22">
        <f t="shared" si="18"/>
        <v>0.41160841536988246</v>
      </c>
      <c r="AA57" s="2">
        <f t="shared" si="66"/>
        <v>455.9</v>
      </c>
      <c r="AB57" s="25" t="str">
        <f t="shared" si="63"/>
        <v/>
      </c>
      <c r="AC57" s="25">
        <f t="shared" si="64"/>
        <v>16.321000000000002</v>
      </c>
      <c r="AD57" s="51" t="str">
        <f t="shared" si="21"/>
        <v/>
      </c>
      <c r="AE57" s="51">
        <f t="shared" si="65"/>
        <v>0.76351444367064825</v>
      </c>
      <c r="AF57" s="51" t="str">
        <f t="shared" si="22"/>
        <v/>
      </c>
      <c r="AG57" s="51">
        <f t="shared" si="23"/>
        <v>0.2466521700749601</v>
      </c>
      <c r="AH57" s="51" t="str">
        <f t="shared" si="69"/>
        <v/>
      </c>
      <c r="AI57" s="51">
        <f t="shared" si="70"/>
        <v>0.47581516389583062</v>
      </c>
      <c r="AJ57" s="55" t="str">
        <f t="shared" si="71"/>
        <v/>
      </c>
      <c r="AK57" s="55">
        <f t="shared" si="72"/>
        <v>0.5120624199232493</v>
      </c>
      <c r="AL57" s="55" t="str">
        <f t="shared" si="27"/>
        <v/>
      </c>
      <c r="AM57" s="55" t="str">
        <f t="shared" si="28"/>
        <v/>
      </c>
      <c r="AN57" s="24"/>
      <c r="AO57" s="24"/>
      <c r="AP57" s="24"/>
      <c r="AQ57" s="24"/>
      <c r="AR57" s="24"/>
      <c r="AS57" s="42">
        <f t="shared" si="53"/>
        <v>0</v>
      </c>
      <c r="AT57" s="42">
        <f t="shared" si="54"/>
        <v>1</v>
      </c>
      <c r="AU57" s="42">
        <f t="shared" si="55"/>
        <v>0</v>
      </c>
      <c r="AV57" s="42">
        <f t="shared" si="56"/>
        <v>0</v>
      </c>
      <c r="AW57" s="24"/>
      <c r="AX57" s="24" t="str">
        <f t="shared" si="73"/>
        <v/>
      </c>
      <c r="AY57" s="2">
        <f t="shared" si="74"/>
        <v>47.5</v>
      </c>
      <c r="BA57" s="24"/>
      <c r="BB57" s="24"/>
      <c r="BC57" s="25"/>
      <c r="BE57" s="25">
        <f t="shared" si="58"/>
        <v>45.399999999999928</v>
      </c>
      <c r="BF57" s="25">
        <f t="shared" si="39"/>
        <v>6.7972005757074303</v>
      </c>
      <c r="BG57" s="25">
        <f t="shared" si="40"/>
        <v>8.1780979890982692</v>
      </c>
      <c r="BI57" s="27" t="str">
        <f t="shared" si="75"/>
        <v/>
      </c>
      <c r="BJ57" s="27">
        <f t="shared" si="76"/>
        <v>0.4</v>
      </c>
      <c r="BP57">
        <f t="shared" si="60"/>
        <v>0.71000000000000041</v>
      </c>
      <c r="BQ57" s="25">
        <f t="shared" si="43"/>
        <v>7.4945959166202994E-6</v>
      </c>
      <c r="BR57" s="25">
        <f t="shared" si="44"/>
        <v>0.16853668270674518</v>
      </c>
      <c r="BS57" s="25"/>
      <c r="BT57" s="25"/>
    </row>
    <row r="58" spans="1:72">
      <c r="A58" t="s">
        <v>166</v>
      </c>
      <c r="B58" s="7">
        <v>44954</v>
      </c>
      <c r="C58" t="s">
        <v>81</v>
      </c>
      <c r="D58">
        <v>6</v>
      </c>
      <c r="E58" t="s">
        <v>17</v>
      </c>
      <c r="I58" s="61">
        <v>25.5</v>
      </c>
      <c r="J58" s="61">
        <v>13.3</v>
      </c>
      <c r="K58" s="61">
        <v>9.3000000000000007</v>
      </c>
      <c r="L58" s="63">
        <f t="shared" si="77"/>
        <v>19.399999999999999</v>
      </c>
      <c r="M58" s="15">
        <f t="shared" si="36"/>
        <v>1</v>
      </c>
      <c r="N58" s="15">
        <f t="shared" si="46"/>
        <v>0.52156862745098043</v>
      </c>
      <c r="O58" s="15">
        <f t="shared" si="47"/>
        <v>0.36470588235294121</v>
      </c>
      <c r="P58" s="15">
        <f t="shared" si="48"/>
        <v>0.76078431372549016</v>
      </c>
      <c r="Q58" s="16">
        <f t="shared" si="49"/>
        <v>0.39607843137254894</v>
      </c>
      <c r="R58" s="16">
        <f t="shared" si="50"/>
        <v>0.47843137254901957</v>
      </c>
      <c r="S58" s="14" t="e">
        <f t="shared" si="38"/>
        <v>#N/A</v>
      </c>
      <c r="T58" s="14">
        <f t="shared" si="62"/>
        <v>0.47843137254901957</v>
      </c>
      <c r="U58" s="22">
        <f t="shared" si="68"/>
        <v>39.620298400874582</v>
      </c>
      <c r="V58" s="22" t="str">
        <f t="shared" si="15"/>
        <v/>
      </c>
      <c r="W58" s="22">
        <f t="shared" si="16"/>
        <v>39.620298400874582</v>
      </c>
      <c r="X58" s="22">
        <f t="shared" si="51"/>
        <v>0.62110764126492413</v>
      </c>
      <c r="Y58" s="22" t="str">
        <f t="shared" si="17"/>
        <v/>
      </c>
      <c r="Z58" s="22">
        <f t="shared" si="18"/>
        <v>0.62110764126492413</v>
      </c>
      <c r="AA58" s="2">
        <f t="shared" si="66"/>
        <v>627.65000000000009</v>
      </c>
      <c r="AB58" s="25" t="str">
        <f t="shared" si="63"/>
        <v/>
      </c>
      <c r="AC58" s="25">
        <f t="shared" si="64"/>
        <v>15.061</v>
      </c>
      <c r="AD58" s="51" t="str">
        <f t="shared" si="21"/>
        <v/>
      </c>
      <c r="AE58" s="51">
        <f t="shared" si="65"/>
        <v>0.39089796564870932</v>
      </c>
      <c r="AF58" s="51" t="str">
        <f t="shared" si="22"/>
        <v/>
      </c>
      <c r="AG58" s="51">
        <f t="shared" si="23"/>
        <v>0.90357425921284329</v>
      </c>
      <c r="AH58" s="51" t="str">
        <f t="shared" si="69"/>
        <v/>
      </c>
      <c r="AI58" s="51">
        <f t="shared" si="70"/>
        <v>0.3065382451209635</v>
      </c>
      <c r="AJ58" s="55" t="str">
        <f t="shared" si="71"/>
        <v/>
      </c>
      <c r="AK58" s="55">
        <f t="shared" si="72"/>
        <v>0.63531768824927615</v>
      </c>
      <c r="AL58" s="55" t="str">
        <f t="shared" si="27"/>
        <v/>
      </c>
      <c r="AM58" s="55">
        <f t="shared" si="28"/>
        <v>1</v>
      </c>
      <c r="AN58" s="24"/>
      <c r="AO58" s="24"/>
      <c r="AP58" s="24"/>
      <c r="AQ58" s="24"/>
      <c r="AR58" s="24"/>
      <c r="AS58" s="42">
        <f t="shared" si="53"/>
        <v>0</v>
      </c>
      <c r="AT58" s="42">
        <f t="shared" si="54"/>
        <v>0</v>
      </c>
      <c r="AU58" s="42">
        <f t="shared" si="55"/>
        <v>0</v>
      </c>
      <c r="AV58" s="42">
        <f t="shared" si="56"/>
        <v>1</v>
      </c>
      <c r="AW58" s="24"/>
      <c r="AX58" s="24" t="str">
        <f t="shared" si="73"/>
        <v/>
      </c>
      <c r="AY58" s="2">
        <f t="shared" si="74"/>
        <v>40</v>
      </c>
      <c r="BC58" s="25"/>
      <c r="BE58" s="25">
        <f t="shared" si="58"/>
        <v>45.799999999999926</v>
      </c>
      <c r="BF58" s="25">
        <f t="shared" si="39"/>
        <v>5.8012503146835588</v>
      </c>
      <c r="BG58" s="25">
        <f t="shared" si="40"/>
        <v>7.253860241981827</v>
      </c>
      <c r="BI58" s="27" t="str">
        <f t="shared" si="75"/>
        <v/>
      </c>
      <c r="BJ58" s="27">
        <f t="shared" si="76"/>
        <v>0.60000000000000009</v>
      </c>
      <c r="BP58">
        <f t="shared" si="60"/>
        <v>0.72000000000000042</v>
      </c>
      <c r="BQ58" s="25">
        <f t="shared" si="43"/>
        <v>1.3036593858432322E-6</v>
      </c>
      <c r="BR58" s="25">
        <f t="shared" si="44"/>
        <v>4.6401666813400473E-2</v>
      </c>
      <c r="BS58" s="25"/>
      <c r="BT58" s="25"/>
    </row>
    <row r="59" spans="1:72">
      <c r="A59" t="s">
        <v>167</v>
      </c>
      <c r="B59" s="7">
        <v>44954</v>
      </c>
      <c r="C59" t="s">
        <v>81</v>
      </c>
      <c r="D59">
        <v>5</v>
      </c>
      <c r="E59" t="s">
        <v>17</v>
      </c>
      <c r="G59">
        <v>10</v>
      </c>
      <c r="H59">
        <v>10</v>
      </c>
      <c r="I59" s="61">
        <v>21.6</v>
      </c>
      <c r="J59" s="61">
        <v>13.8</v>
      </c>
      <c r="K59" s="61">
        <v>10.7</v>
      </c>
      <c r="L59" s="63">
        <f t="shared" si="77"/>
        <v>17.700000000000003</v>
      </c>
      <c r="M59" s="15">
        <f t="shared" si="36"/>
        <v>1</v>
      </c>
      <c r="N59" s="15">
        <f t="shared" si="46"/>
        <v>0.63888888888888884</v>
      </c>
      <c r="O59" s="15">
        <f t="shared" si="47"/>
        <v>0.49537037037037029</v>
      </c>
      <c r="P59" s="15">
        <f t="shared" si="48"/>
        <v>0.81944444444444453</v>
      </c>
      <c r="Q59" s="16">
        <f t="shared" si="49"/>
        <v>0.32407407407407424</v>
      </c>
      <c r="R59" s="16">
        <f t="shared" si="50"/>
        <v>0.36111111111111116</v>
      </c>
      <c r="S59" s="14">
        <f t="shared" si="38"/>
        <v>0.36111111111111116</v>
      </c>
      <c r="T59" s="14" t="e">
        <f t="shared" si="62"/>
        <v>#N/A</v>
      </c>
      <c r="U59" s="22">
        <f t="shared" si="68"/>
        <v>41.905941941082894</v>
      </c>
      <c r="V59" s="22">
        <f t="shared" si="15"/>
        <v>41.905941941082894</v>
      </c>
      <c r="W59" s="22" t="str">
        <f t="shared" si="16"/>
        <v/>
      </c>
      <c r="X59" s="22">
        <f t="shared" si="51"/>
        <v>0.48520638913236686</v>
      </c>
      <c r="Y59" s="22">
        <f t="shared" si="17"/>
        <v>0.48520638913236686</v>
      </c>
      <c r="Z59" s="22" t="str">
        <f t="shared" si="18"/>
        <v/>
      </c>
      <c r="AA59" s="2">
        <f t="shared" si="66"/>
        <v>442.06000000000006</v>
      </c>
      <c r="AB59" s="25">
        <f t="shared" si="63"/>
        <v>14.729000000000001</v>
      </c>
      <c r="AC59" s="25" t="str">
        <f t="shared" si="64"/>
        <v/>
      </c>
      <c r="AD59" s="51">
        <f t="shared" si="21"/>
        <v>0.50968660042178238</v>
      </c>
      <c r="AE59" s="51" t="str">
        <f t="shared" si="65"/>
        <v/>
      </c>
      <c r="AF59" s="51">
        <f t="shared" si="22"/>
        <v>0.47743170863320084</v>
      </c>
      <c r="AG59" s="51" t="str">
        <f t="shared" si="23"/>
        <v/>
      </c>
      <c r="AH59" s="51">
        <f t="shared" si="69"/>
        <v>4.1131787895036596E-2</v>
      </c>
      <c r="AI59" s="51" t="str">
        <f t="shared" si="70"/>
        <v/>
      </c>
      <c r="AJ59" s="55">
        <f t="shared" si="71"/>
        <v>0.5960244043591969</v>
      </c>
      <c r="AK59" s="55" t="str">
        <f t="shared" si="72"/>
        <v/>
      </c>
      <c r="AL59" s="55">
        <f t="shared" si="27"/>
        <v>1</v>
      </c>
      <c r="AM59" s="55" t="str">
        <f t="shared" si="28"/>
        <v/>
      </c>
      <c r="AN59" s="24"/>
      <c r="AO59" s="24"/>
      <c r="AP59" s="24"/>
      <c r="AQ59" s="24"/>
      <c r="AR59" s="24"/>
      <c r="AS59" s="42">
        <f t="shared" si="53"/>
        <v>0</v>
      </c>
      <c r="AT59" s="42">
        <f t="shared" si="54"/>
        <v>0</v>
      </c>
      <c r="AU59" s="42">
        <f t="shared" si="55"/>
        <v>1</v>
      </c>
      <c r="AV59" s="42">
        <f t="shared" si="56"/>
        <v>0</v>
      </c>
      <c r="AW59" s="24"/>
      <c r="AX59" s="24">
        <f t="shared" si="73"/>
        <v>42.5</v>
      </c>
      <c r="AY59" s="2" t="str">
        <f t="shared" si="74"/>
        <v/>
      </c>
      <c r="BA59" s="24"/>
      <c r="BB59" s="24"/>
      <c r="BC59" s="25"/>
      <c r="BE59" s="25">
        <f t="shared" si="58"/>
        <v>46.199999999999925</v>
      </c>
      <c r="BF59" s="25">
        <f t="shared" si="39"/>
        <v>4.7976387742899806</v>
      </c>
      <c r="BG59" s="25">
        <f t="shared" si="40"/>
        <v>6.2878976970935989</v>
      </c>
      <c r="BI59" s="27">
        <f t="shared" si="75"/>
        <v>0.5</v>
      </c>
      <c r="BJ59" s="27" t="str">
        <f t="shared" si="76"/>
        <v/>
      </c>
      <c r="BP59">
        <f t="shared" si="60"/>
        <v>0.73000000000000043</v>
      </c>
      <c r="BQ59" s="25">
        <f t="shared" si="43"/>
        <v>2.0502809474748463E-7</v>
      </c>
      <c r="BR59" s="25">
        <f t="shared" si="44"/>
        <v>1.090539094729512E-2</v>
      </c>
      <c r="BS59" s="25"/>
      <c r="BT59" s="25"/>
    </row>
    <row r="60" spans="1:72">
      <c r="A60" t="s">
        <v>220</v>
      </c>
      <c r="B60" s="7">
        <v>44980</v>
      </c>
      <c r="C60" t="s">
        <v>81</v>
      </c>
      <c r="D60">
        <v>5</v>
      </c>
      <c r="E60" t="s">
        <v>17</v>
      </c>
      <c r="G60">
        <v>8</v>
      </c>
      <c r="H60">
        <v>9</v>
      </c>
      <c r="I60" s="61">
        <v>25.6</v>
      </c>
      <c r="J60" s="61">
        <v>15.19</v>
      </c>
      <c r="K60" s="61">
        <v>10.75</v>
      </c>
      <c r="L60" s="63">
        <f t="shared" si="77"/>
        <v>20.395</v>
      </c>
      <c r="M60" s="15">
        <f t="shared" si="36"/>
        <v>1</v>
      </c>
      <c r="N60" s="15">
        <f t="shared" si="46"/>
        <v>0.59335937499999991</v>
      </c>
      <c r="O60" s="15">
        <f t="shared" si="47"/>
        <v>0.419921875</v>
      </c>
      <c r="P60" s="15">
        <f t="shared" si="48"/>
        <v>0.79667968749999996</v>
      </c>
      <c r="Q60" s="16">
        <f t="shared" si="49"/>
        <v>0.37675781249999996</v>
      </c>
      <c r="R60" s="16">
        <f t="shared" si="50"/>
        <v>0.40664062500000009</v>
      </c>
      <c r="S60" s="14">
        <f t="shared" si="38"/>
        <v>0.40664062500000009</v>
      </c>
      <c r="T60" s="14" t="e">
        <f t="shared" si="62"/>
        <v>#N/A</v>
      </c>
      <c r="U60" s="22">
        <f t="shared" si="68"/>
        <v>42.81550580955723</v>
      </c>
      <c r="V60" s="22">
        <f t="shared" si="15"/>
        <v>42.81550580955723</v>
      </c>
      <c r="W60" s="22" t="str">
        <f t="shared" si="16"/>
        <v/>
      </c>
      <c r="X60" s="22">
        <f t="shared" si="51"/>
        <v>0.55434921049837871</v>
      </c>
      <c r="Y60" s="22">
        <f t="shared" si="17"/>
        <v>0.55434921049837871</v>
      </c>
      <c r="Z60" s="22" t="str">
        <f t="shared" si="18"/>
        <v/>
      </c>
      <c r="AA60" s="2">
        <f t="shared" si="66"/>
        <v>629.42000000000007</v>
      </c>
      <c r="AB60" s="2">
        <f t="shared" si="63"/>
        <v>16.505500000000001</v>
      </c>
      <c r="AC60" s="2" t="str">
        <f t="shared" si="64"/>
        <v/>
      </c>
      <c r="AD60" s="52">
        <f t="shared" si="21"/>
        <v>0.55695812298174119</v>
      </c>
      <c r="AE60" s="52" t="str">
        <f t="shared" si="65"/>
        <v/>
      </c>
      <c r="AF60" s="52">
        <f t="shared" si="22"/>
        <v>0.69424132435657326</v>
      </c>
      <c r="AG60" s="52" t="str">
        <f t="shared" si="23"/>
        <v/>
      </c>
      <c r="AH60" s="52">
        <f t="shared" si="69"/>
        <v>0.24898004940577523</v>
      </c>
      <c r="AI60" s="52" t="str">
        <f t="shared" si="70"/>
        <v/>
      </c>
      <c r="AJ60" s="56">
        <f t="shared" si="71"/>
        <v>0.58038777919372442</v>
      </c>
      <c r="AK60" s="56" t="str">
        <f t="shared" si="72"/>
        <v/>
      </c>
      <c r="AL60" s="56" t="str">
        <f t="shared" si="27"/>
        <v/>
      </c>
      <c r="AM60" s="56" t="str">
        <f t="shared" si="28"/>
        <v/>
      </c>
      <c r="AX60" s="24">
        <f t="shared" si="73"/>
        <v>42.5</v>
      </c>
      <c r="AY60" s="2" t="str">
        <f t="shared" si="74"/>
        <v/>
      </c>
      <c r="BE60" s="25">
        <f t="shared" si="58"/>
        <v>46.599999999999923</v>
      </c>
      <c r="BF60" s="25">
        <f t="shared" si="39"/>
        <v>3.8445711969785537</v>
      </c>
      <c r="BG60" s="25">
        <f t="shared" si="40"/>
        <v>5.3267358369311406</v>
      </c>
      <c r="BI60" s="29">
        <f t="shared" si="75"/>
        <v>0.55000000000000004</v>
      </c>
      <c r="BJ60" s="29" t="str">
        <f t="shared" si="76"/>
        <v/>
      </c>
      <c r="BP60">
        <f t="shared" si="60"/>
        <v>0.74000000000000044</v>
      </c>
      <c r="BQ60" s="25">
        <f t="shared" si="43"/>
        <v>2.9153851869602729E-8</v>
      </c>
      <c r="BR60" s="25">
        <f t="shared" si="44"/>
        <v>2.1878493549638703E-3</v>
      </c>
      <c r="BS60" s="25"/>
      <c r="BT60" s="25"/>
    </row>
    <row r="61" spans="1:72">
      <c r="A61" t="s">
        <v>221</v>
      </c>
      <c r="B61" s="7">
        <v>44980</v>
      </c>
      <c r="C61" t="s">
        <v>81</v>
      </c>
      <c r="D61">
        <v>5</v>
      </c>
      <c r="E61" t="s">
        <v>17</v>
      </c>
      <c r="G61">
        <v>10</v>
      </c>
      <c r="H61">
        <v>10</v>
      </c>
      <c r="I61" s="61">
        <v>29.28</v>
      </c>
      <c r="J61" s="61">
        <v>17.489999999999998</v>
      </c>
      <c r="K61" s="61">
        <v>13.26</v>
      </c>
      <c r="L61" s="63">
        <f t="shared" ref="L61:L124" si="78">(I61+J61)/2</f>
        <v>23.384999999999998</v>
      </c>
      <c r="M61" s="15">
        <f t="shared" ref="M61:M124" si="79">I61/MAX($I61:$L61)</f>
        <v>1</v>
      </c>
      <c r="N61" s="15">
        <f t="shared" ref="N61:N124" si="80">J61/MAX($I61:$L61)</f>
        <v>0.59733606557377039</v>
      </c>
      <c r="O61" s="15">
        <f t="shared" ref="O61:O124" si="81">K61/MAX($I61:$L61)</f>
        <v>0.45286885245901637</v>
      </c>
      <c r="P61" s="15">
        <f t="shared" ref="P61:P124" si="82">L61/MAX($I61:$L61)</f>
        <v>0.79866803278688514</v>
      </c>
      <c r="Q61" s="16">
        <f t="shared" ref="Q61:Q124" si="83">P61-O61</f>
        <v>0.34579918032786877</v>
      </c>
      <c r="R61" s="16">
        <f t="shared" ref="R61:R124" si="84">M61-N61</f>
        <v>0.40266393442622961</v>
      </c>
      <c r="S61" s="14">
        <f t="shared" ref="S61:S124" si="85">IF($D61=5, R61,NA())</f>
        <v>0.40266393442622961</v>
      </c>
      <c r="T61" s="14" t="e">
        <f t="shared" ref="T61:T124" si="86">IF($D61=6, R61,NA())</f>
        <v>#N/A</v>
      </c>
      <c r="U61" s="22">
        <f t="shared" ref="U61:U124" si="87">SIGN(Q61)*ACOS(R61/X61)*(180/PI())</f>
        <v>40.655279345907182</v>
      </c>
      <c r="V61" s="22">
        <f t="shared" ref="V61:V124" si="88">IF($D61=5, U61,"")</f>
        <v>40.655279345907182</v>
      </c>
      <c r="W61" s="22" t="str">
        <f t="shared" ref="W61:W124" si="89">IF($D61=6, U61,"")</f>
        <v/>
      </c>
      <c r="X61" s="22">
        <f t="shared" ref="X61:X124" si="90">SQRT(Q61^2+R61^2)</f>
        <v>0.53076860985088115</v>
      </c>
      <c r="Y61" s="22">
        <f t="shared" ref="Y61:Y124" si="91">IF($D61=5, X61,"")</f>
        <v>0.53076860985088115</v>
      </c>
      <c r="Z61" s="22" t="str">
        <f t="shared" ref="Z61:Z124" si="92">IF($D61=6, X61,"")</f>
        <v/>
      </c>
      <c r="AA61" s="2">
        <f t="shared" ref="AA61:AA124" si="93">((I61^2)-J61)-K61</f>
        <v>826.56840000000011</v>
      </c>
      <c r="AB61" s="2">
        <f t="shared" ref="AB61:AB124" si="94">IF(D61=5,0.2*I61+0.7*J61+0.07*K61,"")</f>
        <v>19.027200000000001</v>
      </c>
      <c r="AC61" s="2" t="str">
        <f t="shared" ref="AC61:AC124" si="95">IF(D61=6,0.2*I61+0.7*J61+0.07*K61,"")</f>
        <v/>
      </c>
      <c r="AD61" s="52">
        <f t="shared" ref="AD61:AD124" si="96">IF(D61=5,(U61-MIN($U$6:$U$59))/(MAX($U$6:$U$59)-MIN($U$6:$U$59)),"")</f>
        <v>0.44468761889681052</v>
      </c>
      <c r="AE61" s="52" t="str">
        <f t="shared" ref="AE61:AE124" si="97">IF(D61=6,(U61-MIN($U$6:$U$59))/(MAX($U$6:$U$59)-MIN($U$6:$U$59)),"")</f>
        <v/>
      </c>
      <c r="AF61" s="52">
        <f t="shared" ref="AF61:AF124" si="98">IF(D61=5,(X61-MIN($X$2:$X$59))/(MAX($X$2:$X$59)-MIN($X$2:$X$59)),"")</f>
        <v>0.62030015643912728</v>
      </c>
      <c r="AG61" s="52" t="str">
        <f t="shared" ref="AG61:AG124" si="99">IF(D61=6,(X61-MIN($X$2:$X$59))/(MAX($X$2:$X$59)-MIN($X$2:$X$59)),"")</f>
        <v/>
      </c>
      <c r="AH61" s="52">
        <f t="shared" ref="AH61:AH124" si="100">IF(D61=5,SQRT((AD61-$AO$9)^2+(AF61-$AO$10)^2),"")</f>
        <v>0.1968322483479959</v>
      </c>
      <c r="AI61" s="52" t="str">
        <f t="shared" ref="AI61:AI124" si="101">IF(D61=6,SQRT((AE61-$AP$9)^2+(AG61-$AP$10)^2),"")</f>
        <v/>
      </c>
      <c r="AJ61" s="56">
        <f t="shared" ref="AJ61:AJ124" si="102">IF(AD61="","",$AP$13*AD61+$AP$14)</f>
        <v>0.6175249750030618</v>
      </c>
      <c r="AK61" s="56" t="str">
        <f t="shared" ref="AK61:AK124" si="103">IF(AE61="","",$AP$13*AE61+$AP$14)</f>
        <v/>
      </c>
      <c r="AL61" s="56" t="str">
        <f t="shared" ref="AL61:AL124" si="104">IF(AJ61&gt;AF61,1,"")</f>
        <v/>
      </c>
      <c r="AM61" s="56" t="str">
        <f t="shared" ref="AM61:AM124" si="105">IF(AK61&lt;AG61,1,"")</f>
        <v/>
      </c>
      <c r="AX61" s="24"/>
      <c r="BE61" s="25">
        <f t="shared" si="58"/>
        <v>46.999999999999922</v>
      </c>
      <c r="BF61" s="25">
        <f t="shared" si="39"/>
        <v>2.9852636405402051</v>
      </c>
      <c r="BG61" s="25">
        <f t="shared" si="40"/>
        <v>4.4099763636100304</v>
      </c>
      <c r="BP61">
        <f t="shared" si="60"/>
        <v>0.75000000000000044</v>
      </c>
      <c r="BQ61" s="25">
        <f t="shared" si="43"/>
        <v>3.7481057548767704E-9</v>
      </c>
      <c r="BR61" s="25">
        <f t="shared" si="44"/>
        <v>3.7468137842534979E-4</v>
      </c>
      <c r="BS61" s="25"/>
      <c r="BT61" s="25"/>
    </row>
    <row r="62" spans="1:72">
      <c r="A62" t="s">
        <v>222</v>
      </c>
      <c r="B62" s="7">
        <v>44980</v>
      </c>
      <c r="C62" t="s">
        <v>81</v>
      </c>
      <c r="D62">
        <v>6</v>
      </c>
      <c r="E62" t="s">
        <v>17</v>
      </c>
      <c r="I62" s="61">
        <v>20.239999999999998</v>
      </c>
      <c r="J62" s="61">
        <v>12.39</v>
      </c>
      <c r="K62" s="61">
        <v>9.1999999999999993</v>
      </c>
      <c r="L62" s="63">
        <f t="shared" si="78"/>
        <v>16.314999999999998</v>
      </c>
      <c r="M62" s="15">
        <f t="shared" si="79"/>
        <v>1</v>
      </c>
      <c r="N62" s="15">
        <f t="shared" si="80"/>
        <v>0.61215415019762853</v>
      </c>
      <c r="O62" s="15">
        <f t="shared" si="81"/>
        <v>0.45454545454545453</v>
      </c>
      <c r="P62" s="15">
        <f t="shared" si="82"/>
        <v>0.80607707509881421</v>
      </c>
      <c r="Q62" s="16">
        <f t="shared" si="83"/>
        <v>0.35153162055335968</v>
      </c>
      <c r="R62" s="16">
        <f t="shared" si="84"/>
        <v>0.38784584980237147</v>
      </c>
      <c r="S62" s="14" t="e">
        <f t="shared" si="85"/>
        <v>#N/A</v>
      </c>
      <c r="T62" s="14">
        <f t="shared" si="86"/>
        <v>0.38784584980237147</v>
      </c>
      <c r="U62" s="22">
        <f t="shared" si="87"/>
        <v>42.188200128672882</v>
      </c>
      <c r="V62" s="22" t="str">
        <f t="shared" si="88"/>
        <v/>
      </c>
      <c r="W62" s="22">
        <f t="shared" si="89"/>
        <v>42.188200128672882</v>
      </c>
      <c r="X62" s="22">
        <f t="shared" si="90"/>
        <v>0.52344902660889048</v>
      </c>
      <c r="Y62" s="22" t="str">
        <f t="shared" si="91"/>
        <v/>
      </c>
      <c r="Z62" s="22">
        <f t="shared" si="92"/>
        <v>0.52344902660889048</v>
      </c>
      <c r="AA62" s="2">
        <f t="shared" si="93"/>
        <v>388.06759999999997</v>
      </c>
      <c r="AB62" s="2" t="str">
        <f t="shared" si="94"/>
        <v/>
      </c>
      <c r="AC62" s="2">
        <f t="shared" si="95"/>
        <v>13.365</v>
      </c>
      <c r="AD62" s="52" t="str">
        <f t="shared" si="96"/>
        <v/>
      </c>
      <c r="AE62" s="52">
        <f t="shared" si="97"/>
        <v>0.52435602028866191</v>
      </c>
      <c r="AF62" s="52" t="str">
        <f t="shared" si="98"/>
        <v/>
      </c>
      <c r="AG62" s="52">
        <f t="shared" si="99"/>
        <v>0.59734830115467796</v>
      </c>
      <c r="AH62" s="52" t="str">
        <f t="shared" si="100"/>
        <v/>
      </c>
      <c r="AI62" s="52">
        <f t="shared" si="101"/>
        <v>0.14097341721680917</v>
      </c>
      <c r="AJ62" s="56" t="str">
        <f t="shared" si="102"/>
        <v/>
      </c>
      <c r="AK62" s="56">
        <f t="shared" si="103"/>
        <v>0.59117200681768789</v>
      </c>
      <c r="AL62" s="56" t="str">
        <f t="shared" si="104"/>
        <v/>
      </c>
      <c r="AM62" s="56">
        <f t="shared" si="105"/>
        <v>1</v>
      </c>
      <c r="AX62" s="24"/>
      <c r="BE62" s="25">
        <f t="shared" si="58"/>
        <v>47.39999999999992</v>
      </c>
      <c r="BF62" s="25">
        <f t="shared" si="39"/>
        <v>2.2461145247814991</v>
      </c>
      <c r="BG62" s="25">
        <f t="shared" si="40"/>
        <v>3.5680486969666028</v>
      </c>
      <c r="BP62">
        <f>BP61+0.01</f>
        <v>0.76000000000000045</v>
      </c>
      <c r="BQ62" s="25">
        <f t="shared" si="43"/>
        <v>4.3567341139536053E-10</v>
      </c>
      <c r="BR62" s="25">
        <f t="shared" si="44"/>
        <v>5.4774108971060461E-5</v>
      </c>
      <c r="BS62" s="25"/>
      <c r="BT62" s="25"/>
    </row>
    <row r="63" spans="1:72">
      <c r="A63" t="s">
        <v>224</v>
      </c>
      <c r="B63" s="7">
        <v>44980</v>
      </c>
      <c r="C63" t="s">
        <v>81</v>
      </c>
      <c r="D63">
        <v>5</v>
      </c>
      <c r="E63" t="s">
        <v>26</v>
      </c>
      <c r="F63" s="9">
        <v>2</v>
      </c>
      <c r="G63">
        <v>9</v>
      </c>
      <c r="H63">
        <v>9</v>
      </c>
      <c r="I63" s="61">
        <v>19.010000000000002</v>
      </c>
      <c r="J63" s="61">
        <v>11.17</v>
      </c>
      <c r="K63" s="61">
        <v>8.0299999999999994</v>
      </c>
      <c r="L63" s="63">
        <f t="shared" si="78"/>
        <v>15.09</v>
      </c>
      <c r="M63" s="15">
        <f t="shared" si="79"/>
        <v>1</v>
      </c>
      <c r="N63" s="15">
        <f t="shared" si="80"/>
        <v>0.58758548132561805</v>
      </c>
      <c r="O63" s="15">
        <f t="shared" si="81"/>
        <v>0.42240925828511305</v>
      </c>
      <c r="P63" s="15">
        <f t="shared" si="82"/>
        <v>0.79379274066280903</v>
      </c>
      <c r="Q63" s="16">
        <f t="shared" si="83"/>
        <v>0.37138348237769597</v>
      </c>
      <c r="R63" s="16">
        <f t="shared" si="84"/>
        <v>0.41241451867438195</v>
      </c>
      <c r="S63" s="14">
        <f t="shared" si="85"/>
        <v>0.41241451867438195</v>
      </c>
      <c r="T63" s="14" t="e">
        <f t="shared" si="86"/>
        <v>#N/A</v>
      </c>
      <c r="U63" s="22">
        <f t="shared" si="87"/>
        <v>42.003358974045859</v>
      </c>
      <c r="V63" s="22">
        <f t="shared" si="88"/>
        <v>42.003358974045859</v>
      </c>
      <c r="W63" s="22" t="str">
        <f t="shared" si="89"/>
        <v/>
      </c>
      <c r="X63" s="22">
        <f t="shared" si="90"/>
        <v>0.55498777121339038</v>
      </c>
      <c r="Y63" s="22">
        <f t="shared" si="91"/>
        <v>0.55498777121339038</v>
      </c>
      <c r="Z63" s="22" t="str">
        <f t="shared" si="92"/>
        <v/>
      </c>
      <c r="AA63" s="2">
        <f t="shared" si="93"/>
        <v>342.1801000000001</v>
      </c>
      <c r="AB63" s="2">
        <f t="shared" si="94"/>
        <v>12.1831</v>
      </c>
      <c r="AC63" s="2" t="str">
        <f t="shared" si="95"/>
        <v/>
      </c>
      <c r="AD63" s="52">
        <f t="shared" si="96"/>
        <v>0.5147495230279292</v>
      </c>
      <c r="AE63" s="52" t="str">
        <f t="shared" si="97"/>
        <v/>
      </c>
      <c r="AF63" s="52">
        <f t="shared" si="98"/>
        <v>0.6962436450675672</v>
      </c>
      <c r="AG63" s="52" t="str">
        <f t="shared" si="99"/>
        <v/>
      </c>
      <c r="AH63" s="52">
        <f t="shared" si="100"/>
        <v>0.25105953159435246</v>
      </c>
      <c r="AI63" s="52" t="str">
        <f t="shared" si="101"/>
        <v/>
      </c>
      <c r="AJ63" s="56">
        <f t="shared" si="102"/>
        <v>0.59434967465414668</v>
      </c>
      <c r="AK63" s="56" t="str">
        <f t="shared" si="103"/>
        <v/>
      </c>
      <c r="AL63" s="56" t="str">
        <f t="shared" si="104"/>
        <v/>
      </c>
      <c r="AM63" s="56" t="str">
        <f t="shared" si="105"/>
        <v/>
      </c>
      <c r="AX63" s="24"/>
      <c r="BE63" s="25">
        <f t="shared" si="58"/>
        <v>47.799999999999919</v>
      </c>
      <c r="BF63" s="25">
        <f t="shared" si="39"/>
        <v>1.6375535937561625</v>
      </c>
      <c r="BG63" s="25">
        <f t="shared" si="40"/>
        <v>2.8212702780025589</v>
      </c>
      <c r="BP63">
        <f t="shared" si="60"/>
        <v>0.77000000000000046</v>
      </c>
      <c r="BQ63" s="25">
        <f t="shared" si="43"/>
        <v>4.5787149055041076E-11</v>
      </c>
      <c r="BR63" s="25">
        <f t="shared" si="44"/>
        <v>6.8352916791523054E-6</v>
      </c>
      <c r="BS63" s="25"/>
      <c r="BT63" s="25"/>
    </row>
    <row r="64" spans="1:72">
      <c r="A64" t="s">
        <v>223</v>
      </c>
      <c r="B64" s="7">
        <v>44980</v>
      </c>
      <c r="C64" t="s">
        <v>81</v>
      </c>
      <c r="D64">
        <v>5</v>
      </c>
      <c r="E64" t="s">
        <v>26</v>
      </c>
      <c r="F64" s="9">
        <v>0</v>
      </c>
      <c r="G64">
        <v>10</v>
      </c>
      <c r="H64">
        <v>10</v>
      </c>
      <c r="I64" s="61">
        <v>17.37</v>
      </c>
      <c r="J64" s="61">
        <v>11.81</v>
      </c>
      <c r="K64" s="61">
        <v>11.15</v>
      </c>
      <c r="L64" s="63">
        <f t="shared" si="78"/>
        <v>14.59</v>
      </c>
      <c r="M64" s="15">
        <f t="shared" si="79"/>
        <v>1</v>
      </c>
      <c r="N64" s="15">
        <f t="shared" si="80"/>
        <v>0.67990788716177319</v>
      </c>
      <c r="O64" s="15">
        <f t="shared" si="81"/>
        <v>0.64191134139320671</v>
      </c>
      <c r="P64" s="15">
        <f t="shared" si="82"/>
        <v>0.83995394358088649</v>
      </c>
      <c r="Q64" s="16">
        <f t="shared" si="83"/>
        <v>0.19804260218767977</v>
      </c>
      <c r="R64" s="16">
        <f t="shared" si="84"/>
        <v>0.32009211283822681</v>
      </c>
      <c r="S64" s="14">
        <f t="shared" si="85"/>
        <v>0.32009211283822681</v>
      </c>
      <c r="T64" s="14" t="e">
        <f t="shared" si="86"/>
        <v>#N/A</v>
      </c>
      <c r="U64" s="22">
        <f t="shared" si="87"/>
        <v>31.745287422355208</v>
      </c>
      <c r="V64" s="22">
        <f t="shared" si="88"/>
        <v>31.745287422355208</v>
      </c>
      <c r="W64" s="22" t="str">
        <f t="shared" si="89"/>
        <v/>
      </c>
      <c r="X64" s="22">
        <f t="shared" si="90"/>
        <v>0.37640381637611975</v>
      </c>
      <c r="Y64" s="22">
        <f t="shared" si="91"/>
        <v>0.37640381637611975</v>
      </c>
      <c r="Z64" s="22" t="str">
        <f t="shared" si="92"/>
        <v/>
      </c>
      <c r="AA64" s="2">
        <f t="shared" si="93"/>
        <v>278.75690000000003</v>
      </c>
      <c r="AB64" s="2">
        <f t="shared" si="94"/>
        <v>12.5215</v>
      </c>
      <c r="AC64" s="2" t="str">
        <f t="shared" si="95"/>
        <v/>
      </c>
      <c r="AD64" s="52">
        <f t="shared" si="96"/>
        <v>-1.8379240750684249E-2</v>
      </c>
      <c r="AE64" s="52" t="str">
        <f t="shared" si="97"/>
        <v/>
      </c>
      <c r="AF64" s="52">
        <f t="shared" si="98"/>
        <v>0.13626188763148031</v>
      </c>
      <c r="AG64" s="52" t="str">
        <f t="shared" si="99"/>
        <v/>
      </c>
      <c r="AH64" s="52">
        <f t="shared" si="100"/>
        <v>0.63540323950055566</v>
      </c>
      <c r="AI64" s="52" t="str">
        <f t="shared" si="101"/>
        <v/>
      </c>
      <c r="AJ64" s="56">
        <f t="shared" si="102"/>
        <v>0.77069970936191678</v>
      </c>
      <c r="AK64" s="56" t="str">
        <f t="shared" si="103"/>
        <v/>
      </c>
      <c r="AL64" s="56">
        <f t="shared" si="104"/>
        <v>1</v>
      </c>
      <c r="AM64" s="56" t="str">
        <f t="shared" si="105"/>
        <v/>
      </c>
      <c r="AX64" s="24"/>
      <c r="BE64" s="25">
        <f t="shared" si="58"/>
        <v>48.199999999999918</v>
      </c>
      <c r="BF64" s="25">
        <f t="shared" si="39"/>
        <v>1.1568407277271087</v>
      </c>
      <c r="BG64" s="25">
        <f t="shared" si="40"/>
        <v>2.1801080749613089</v>
      </c>
      <c r="BP64">
        <f t="shared" si="60"/>
        <v>0.78000000000000047</v>
      </c>
      <c r="BQ64" s="25">
        <f t="shared" si="43"/>
        <v>4.3507033900861018E-12</v>
      </c>
      <c r="BR64" s="25">
        <f t="shared" si="44"/>
        <v>7.2812727576390716E-7</v>
      </c>
      <c r="BS64" s="25"/>
      <c r="BT64" s="25"/>
    </row>
    <row r="65" spans="1:72">
      <c r="A65" t="s">
        <v>225</v>
      </c>
      <c r="B65" s="7">
        <v>44980</v>
      </c>
      <c r="C65" t="s">
        <v>81</v>
      </c>
      <c r="D65">
        <v>6</v>
      </c>
      <c r="E65" t="s">
        <v>26</v>
      </c>
      <c r="F65" s="9">
        <v>0</v>
      </c>
      <c r="I65" s="61">
        <v>25.76</v>
      </c>
      <c r="J65" s="61">
        <v>13.08</v>
      </c>
      <c r="K65" s="61">
        <v>9.32</v>
      </c>
      <c r="L65" s="63">
        <f t="shared" si="78"/>
        <v>19.420000000000002</v>
      </c>
      <c r="M65" s="15">
        <f t="shared" si="79"/>
        <v>1</v>
      </c>
      <c r="N65" s="15">
        <f t="shared" si="80"/>
        <v>0.50776397515527949</v>
      </c>
      <c r="O65" s="15">
        <f t="shared" si="81"/>
        <v>0.36180124223602483</v>
      </c>
      <c r="P65" s="15">
        <f t="shared" si="82"/>
        <v>0.7538819875776398</v>
      </c>
      <c r="Q65" s="16">
        <f t="shared" si="83"/>
        <v>0.39208074534161497</v>
      </c>
      <c r="R65" s="16">
        <f t="shared" si="84"/>
        <v>0.49223602484472051</v>
      </c>
      <c r="S65" s="14" t="e">
        <f t="shared" si="85"/>
        <v>#N/A</v>
      </c>
      <c r="T65" s="14">
        <f t="shared" si="86"/>
        <v>0.49223602484472051</v>
      </c>
      <c r="U65" s="22">
        <f t="shared" si="87"/>
        <v>38.538372294374668</v>
      </c>
      <c r="V65" s="22" t="str">
        <f t="shared" si="88"/>
        <v/>
      </c>
      <c r="W65" s="22">
        <f t="shared" si="89"/>
        <v>38.538372294374668</v>
      </c>
      <c r="X65" s="22">
        <f t="shared" si="90"/>
        <v>0.62930407198950222</v>
      </c>
      <c r="Y65" s="22" t="str">
        <f t="shared" si="91"/>
        <v/>
      </c>
      <c r="Z65" s="22">
        <f t="shared" si="92"/>
        <v>0.62930407198950222</v>
      </c>
      <c r="AA65" s="2">
        <f t="shared" si="93"/>
        <v>641.17759999999998</v>
      </c>
      <c r="AB65" s="2" t="str">
        <f t="shared" si="94"/>
        <v/>
      </c>
      <c r="AC65" s="2">
        <f t="shared" si="95"/>
        <v>14.9604</v>
      </c>
      <c r="AD65" s="52" t="str">
        <f t="shared" si="96"/>
        <v/>
      </c>
      <c r="AE65" s="52">
        <f t="shared" si="97"/>
        <v>0.33466849554299116</v>
      </c>
      <c r="AF65" s="52" t="str">
        <f t="shared" si="98"/>
        <v/>
      </c>
      <c r="AG65" s="52">
        <f t="shared" si="99"/>
        <v>0.92927562575517764</v>
      </c>
      <c r="AH65" s="52" t="str">
        <f t="shared" si="100"/>
        <v/>
      </c>
      <c r="AI65" s="52">
        <f t="shared" si="101"/>
        <v>0.36612546779028005</v>
      </c>
      <c r="AJ65" s="56" t="str">
        <f t="shared" si="102"/>
        <v/>
      </c>
      <c r="AK65" s="56">
        <f t="shared" si="103"/>
        <v>0.65391745190573614</v>
      </c>
      <c r="AL65" s="56" t="str">
        <f t="shared" si="104"/>
        <v/>
      </c>
      <c r="AM65" s="56">
        <f t="shared" si="105"/>
        <v>1</v>
      </c>
      <c r="AX65" s="24"/>
      <c r="BE65" s="25">
        <f t="shared" si="58"/>
        <v>48.599999999999916</v>
      </c>
      <c r="BF65" s="25">
        <f t="shared" si="39"/>
        <v>0.79189215186032591</v>
      </c>
      <c r="BG65" s="25">
        <f t="shared" si="40"/>
        <v>1.646382581757877</v>
      </c>
      <c r="BP65">
        <f t="shared" si="60"/>
        <v>0.79000000000000048</v>
      </c>
      <c r="BQ65" s="25">
        <f t="shared" si="43"/>
        <v>3.7377364526353919E-13</v>
      </c>
      <c r="BR65" s="25">
        <f t="shared" si="44"/>
        <v>6.621037788322554E-8</v>
      </c>
      <c r="BS65" s="25"/>
      <c r="BT65" s="25"/>
    </row>
    <row r="66" spans="1:72">
      <c r="A66" t="s">
        <v>226</v>
      </c>
      <c r="B66" s="7">
        <v>44980</v>
      </c>
      <c r="C66" t="s">
        <v>81</v>
      </c>
      <c r="D66">
        <v>6</v>
      </c>
      <c r="E66" t="s">
        <v>26</v>
      </c>
      <c r="F66" s="9">
        <v>0</v>
      </c>
      <c r="I66" s="61">
        <v>21.32</v>
      </c>
      <c r="J66" s="61">
        <v>10.39</v>
      </c>
      <c r="K66" s="61">
        <v>7.15</v>
      </c>
      <c r="L66" s="63">
        <f t="shared" si="78"/>
        <v>15.855</v>
      </c>
      <c r="M66" s="15">
        <f t="shared" si="79"/>
        <v>1</v>
      </c>
      <c r="N66" s="15">
        <f t="shared" si="80"/>
        <v>0.48733583489681054</v>
      </c>
      <c r="O66" s="15">
        <f t="shared" si="81"/>
        <v>0.33536585365853661</v>
      </c>
      <c r="P66" s="15">
        <f t="shared" si="82"/>
        <v>0.74366791744840521</v>
      </c>
      <c r="Q66" s="16">
        <f t="shared" si="83"/>
        <v>0.40830206378986861</v>
      </c>
      <c r="R66" s="16">
        <f t="shared" si="84"/>
        <v>0.51266416510318946</v>
      </c>
      <c r="S66" s="14" t="e">
        <f t="shared" si="85"/>
        <v>#N/A</v>
      </c>
      <c r="T66" s="14">
        <f t="shared" si="86"/>
        <v>0.51266416510318946</v>
      </c>
      <c r="U66" s="22">
        <f t="shared" si="87"/>
        <v>38.534932213918125</v>
      </c>
      <c r="V66" s="22" t="str">
        <f t="shared" si="88"/>
        <v/>
      </c>
      <c r="W66" s="22">
        <f t="shared" si="89"/>
        <v>38.534932213918125</v>
      </c>
      <c r="X66" s="22">
        <f t="shared" si="90"/>
        <v>0.65538929002236235</v>
      </c>
      <c r="Y66" s="22" t="str">
        <f t="shared" si="91"/>
        <v/>
      </c>
      <c r="Z66" s="22">
        <f t="shared" si="92"/>
        <v>0.65538929002236235</v>
      </c>
      <c r="AA66" s="2">
        <f t="shared" si="93"/>
        <v>437.00240000000002</v>
      </c>
      <c r="AB66" s="2" t="str">
        <f t="shared" si="94"/>
        <v/>
      </c>
      <c r="AC66" s="2">
        <f t="shared" si="95"/>
        <v>12.0375</v>
      </c>
      <c r="AD66" s="52" t="str">
        <f t="shared" si="96"/>
        <v/>
      </c>
      <c r="AE66" s="52">
        <f t="shared" si="97"/>
        <v>0.33448970893267616</v>
      </c>
      <c r="AF66" s="52" t="str">
        <f t="shared" si="98"/>
        <v/>
      </c>
      <c r="AG66" s="52">
        <f t="shared" si="99"/>
        <v>1.0110704670132007</v>
      </c>
      <c r="AH66" s="52" t="str">
        <f t="shared" si="100"/>
        <v/>
      </c>
      <c r="AI66" s="52">
        <f t="shared" si="101"/>
        <v>0.42222277739191993</v>
      </c>
      <c r="AJ66" s="56" t="str">
        <f t="shared" si="102"/>
        <v/>
      </c>
      <c r="AK66" s="56">
        <f t="shared" si="103"/>
        <v>0.6539765915115433</v>
      </c>
      <c r="AL66" s="56" t="str">
        <f t="shared" si="104"/>
        <v/>
      </c>
      <c r="AM66" s="56">
        <f t="shared" si="105"/>
        <v>1</v>
      </c>
      <c r="AX66" s="24"/>
      <c r="BE66" s="25">
        <f t="shared" si="58"/>
        <v>48.999999999999915</v>
      </c>
      <c r="BF66" s="25">
        <f t="shared" si="39"/>
        <v>0.52525830644951632</v>
      </c>
      <c r="BG66" s="25">
        <f t="shared" si="40"/>
        <v>1.2150745128213483</v>
      </c>
      <c r="BP66">
        <f t="shared" si="60"/>
        <v>0.80000000000000049</v>
      </c>
      <c r="BQ66" s="25">
        <f t="shared" si="43"/>
        <v>2.903295243147075E-14</v>
      </c>
      <c r="BR66" s="25">
        <f t="shared" si="44"/>
        <v>5.1394110161315572E-9</v>
      </c>
      <c r="BS66" s="25"/>
      <c r="BT66" s="25"/>
    </row>
    <row r="67" spans="1:72">
      <c r="A67" t="s">
        <v>227</v>
      </c>
      <c r="B67" s="7">
        <v>44980</v>
      </c>
      <c r="C67" t="s">
        <v>81</v>
      </c>
      <c r="D67">
        <v>5</v>
      </c>
      <c r="E67" t="s">
        <v>17</v>
      </c>
      <c r="G67">
        <v>10</v>
      </c>
      <c r="H67">
        <v>10</v>
      </c>
      <c r="I67" s="61">
        <v>20.3</v>
      </c>
      <c r="J67" s="61">
        <v>12.3</v>
      </c>
      <c r="K67" s="61">
        <v>8.6999999999999993</v>
      </c>
      <c r="L67" s="63">
        <f t="shared" si="78"/>
        <v>16.3</v>
      </c>
      <c r="M67" s="15">
        <f t="shared" si="79"/>
        <v>1</v>
      </c>
      <c r="N67" s="15">
        <f t="shared" si="80"/>
        <v>0.60591133004926112</v>
      </c>
      <c r="O67" s="15">
        <f t="shared" si="81"/>
        <v>0.42857142857142855</v>
      </c>
      <c r="P67" s="15">
        <f t="shared" si="82"/>
        <v>0.80295566502463056</v>
      </c>
      <c r="Q67" s="16">
        <f t="shared" si="83"/>
        <v>0.37438423645320201</v>
      </c>
      <c r="R67" s="16">
        <f t="shared" si="84"/>
        <v>0.39408866995073888</v>
      </c>
      <c r="S67" s="14">
        <f t="shared" si="85"/>
        <v>0.39408866995073888</v>
      </c>
      <c r="T67" s="14" t="e">
        <f t="shared" si="86"/>
        <v>#N/A</v>
      </c>
      <c r="U67" s="22">
        <f t="shared" si="87"/>
        <v>43.531199285614171</v>
      </c>
      <c r="V67" s="22">
        <f t="shared" si="88"/>
        <v>43.531199285614171</v>
      </c>
      <c r="W67" s="22" t="str">
        <f t="shared" si="89"/>
        <v/>
      </c>
      <c r="X67" s="22">
        <f t="shared" si="90"/>
        <v>0.54357100390674762</v>
      </c>
      <c r="Y67" s="22">
        <f t="shared" si="91"/>
        <v>0.54357100390674762</v>
      </c>
      <c r="Z67" s="22" t="str">
        <f t="shared" si="92"/>
        <v/>
      </c>
      <c r="AA67" s="2">
        <f t="shared" si="93"/>
        <v>391.09000000000003</v>
      </c>
      <c r="AB67" s="2">
        <f t="shared" si="94"/>
        <v>13.279</v>
      </c>
      <c r="AC67" s="2" t="str">
        <f t="shared" si="95"/>
        <v/>
      </c>
      <c r="AD67" s="52">
        <f t="shared" si="96"/>
        <v>0.59415388401849967</v>
      </c>
      <c r="AE67" s="52" t="str">
        <f t="shared" si="97"/>
        <v/>
      </c>
      <c r="AF67" s="52">
        <f t="shared" si="98"/>
        <v>0.66044434032914168</v>
      </c>
      <c r="AG67" s="52" t="str">
        <f t="shared" si="99"/>
        <v/>
      </c>
      <c r="AH67" s="52">
        <f t="shared" si="100"/>
        <v>0.22198611527416104</v>
      </c>
      <c r="AI67" s="52" t="str">
        <f t="shared" si="101"/>
        <v/>
      </c>
      <c r="AJ67" s="56">
        <f t="shared" si="102"/>
        <v>0.56808404659576217</v>
      </c>
      <c r="AK67" s="56" t="str">
        <f t="shared" si="103"/>
        <v/>
      </c>
      <c r="AL67" s="56" t="str">
        <f t="shared" si="104"/>
        <v/>
      </c>
      <c r="AM67" s="56" t="str">
        <f t="shared" si="105"/>
        <v/>
      </c>
      <c r="AX67" s="24"/>
      <c r="AZ67" s="24"/>
      <c r="BE67" s="25">
        <f t="shared" si="58"/>
        <v>49.399999999999913</v>
      </c>
      <c r="BF67" s="25">
        <f t="shared" si="39"/>
        <v>0.33759362785477059</v>
      </c>
      <c r="BG67" s="25">
        <f t="shared" si="40"/>
        <v>0.87638405857689061</v>
      </c>
      <c r="BP67">
        <f t="shared" si="60"/>
        <v>0.8100000000000005</v>
      </c>
      <c r="BQ67" s="25">
        <f t="shared" si="43"/>
        <v>2.0389522519332584E-15</v>
      </c>
      <c r="BR67" s="25">
        <f t="shared" si="44"/>
        <v>3.4054080137985068E-10</v>
      </c>
      <c r="BS67" s="25"/>
      <c r="BT67" s="25"/>
    </row>
    <row r="68" spans="1:72">
      <c r="A68" t="s">
        <v>228</v>
      </c>
      <c r="B68" s="7">
        <v>44980</v>
      </c>
      <c r="C68" t="s">
        <v>81</v>
      </c>
      <c r="D68">
        <v>6</v>
      </c>
      <c r="E68" t="s">
        <v>26</v>
      </c>
      <c r="F68" s="9">
        <v>0</v>
      </c>
      <c r="I68" s="61">
        <v>31.1</v>
      </c>
      <c r="J68" s="61">
        <v>17.399999999999999</v>
      </c>
      <c r="K68" s="61">
        <v>11.1</v>
      </c>
      <c r="L68" s="63">
        <f t="shared" si="78"/>
        <v>24.25</v>
      </c>
      <c r="M68" s="15">
        <f t="shared" si="79"/>
        <v>1</v>
      </c>
      <c r="N68" s="15">
        <f t="shared" si="80"/>
        <v>0.55948553054662375</v>
      </c>
      <c r="O68" s="15">
        <f t="shared" si="81"/>
        <v>0.35691318327974275</v>
      </c>
      <c r="P68" s="15">
        <f t="shared" si="82"/>
        <v>0.77974276527331188</v>
      </c>
      <c r="Q68" s="16">
        <f t="shared" si="83"/>
        <v>0.42282958199356913</v>
      </c>
      <c r="R68" s="16">
        <f t="shared" si="84"/>
        <v>0.44051446945337625</v>
      </c>
      <c r="S68" s="14" t="e">
        <f t="shared" si="85"/>
        <v>#N/A</v>
      </c>
      <c r="T68" s="14">
        <f t="shared" si="86"/>
        <v>0.44051446945337625</v>
      </c>
      <c r="U68" s="22">
        <f t="shared" si="87"/>
        <v>43.826507551031732</v>
      </c>
      <c r="V68" s="22" t="str">
        <f t="shared" si="88"/>
        <v/>
      </c>
      <c r="W68" s="22">
        <f t="shared" si="89"/>
        <v>43.826507551031732</v>
      </c>
      <c r="X68" s="22">
        <f t="shared" si="90"/>
        <v>0.61060449818736673</v>
      </c>
      <c r="Y68" s="22" t="str">
        <f t="shared" si="91"/>
        <v/>
      </c>
      <c r="Z68" s="22">
        <f t="shared" si="92"/>
        <v>0.61060449818736673</v>
      </c>
      <c r="AA68" s="2">
        <f t="shared" si="93"/>
        <v>938.71</v>
      </c>
      <c r="AB68" s="2" t="str">
        <f t="shared" si="94"/>
        <v/>
      </c>
      <c r="AC68" s="2">
        <f t="shared" si="95"/>
        <v>19.177</v>
      </c>
      <c r="AD68" s="52" t="str">
        <f t="shared" si="96"/>
        <v/>
      </c>
      <c r="AE68" s="52">
        <f t="shared" si="97"/>
        <v>0.60950153778386285</v>
      </c>
      <c r="AF68" s="52" t="str">
        <f t="shared" si="98"/>
        <v/>
      </c>
      <c r="AG68" s="52">
        <f t="shared" si="99"/>
        <v>0.87063978576290391</v>
      </c>
      <c r="AH68" s="52" t="str">
        <f t="shared" si="100"/>
        <v/>
      </c>
      <c r="AI68" s="52">
        <f t="shared" si="101"/>
        <v>0.17053220580190045</v>
      </c>
      <c r="AJ68" s="56" t="str">
        <f t="shared" si="102"/>
        <v/>
      </c>
      <c r="AK68" s="56">
        <f t="shared" si="103"/>
        <v>0.563007300679782</v>
      </c>
      <c r="AL68" s="56" t="str">
        <f t="shared" si="104"/>
        <v/>
      </c>
      <c r="AM68" s="56">
        <f t="shared" si="105"/>
        <v>1</v>
      </c>
      <c r="AX68" s="24"/>
      <c r="BE68" s="25">
        <f t="shared" si="58"/>
        <v>49.799999999999912</v>
      </c>
      <c r="BF68" s="25">
        <f t="shared" si="39"/>
        <v>0.21024708033721196</v>
      </c>
      <c r="BG68" s="25">
        <f t="shared" si="40"/>
        <v>0.61773959116986943</v>
      </c>
      <c r="BP68">
        <f t="shared" si="60"/>
        <v>0.82000000000000051</v>
      </c>
      <c r="BQ68" s="25">
        <f t="shared" si="43"/>
        <v>1.2946615057684126E-16</v>
      </c>
      <c r="BR68" s="25">
        <f t="shared" si="44"/>
        <v>1.9261649437029094E-11</v>
      </c>
      <c r="BS68" s="25"/>
      <c r="BT68" s="25"/>
    </row>
    <row r="69" spans="1:72">
      <c r="A69" t="s">
        <v>229</v>
      </c>
      <c r="B69" s="7">
        <v>44980</v>
      </c>
      <c r="C69" t="s">
        <v>81</v>
      </c>
      <c r="D69">
        <v>6</v>
      </c>
      <c r="E69" t="s">
        <v>26</v>
      </c>
      <c r="F69" s="9">
        <v>0</v>
      </c>
      <c r="I69" s="61">
        <v>21.7</v>
      </c>
      <c r="J69" s="61">
        <v>11.5</v>
      </c>
      <c r="K69" s="61">
        <v>9.1</v>
      </c>
      <c r="L69" s="63">
        <f t="shared" si="78"/>
        <v>16.600000000000001</v>
      </c>
      <c r="M69" s="15">
        <f t="shared" si="79"/>
        <v>1</v>
      </c>
      <c r="N69" s="15">
        <f t="shared" si="80"/>
        <v>0.52995391705069128</v>
      </c>
      <c r="O69" s="15">
        <f t="shared" si="81"/>
        <v>0.41935483870967744</v>
      </c>
      <c r="P69" s="15">
        <f t="shared" si="82"/>
        <v>0.76497695852534575</v>
      </c>
      <c r="Q69" s="16">
        <f t="shared" si="83"/>
        <v>0.34562211981566832</v>
      </c>
      <c r="R69" s="16">
        <f t="shared" si="84"/>
        <v>0.47004608294930872</v>
      </c>
      <c r="S69" s="14" t="e">
        <f t="shared" si="85"/>
        <v>#N/A</v>
      </c>
      <c r="T69" s="14">
        <f t="shared" si="86"/>
        <v>0.47004608294930872</v>
      </c>
      <c r="U69" s="22">
        <f t="shared" si="87"/>
        <v>36.326825952120231</v>
      </c>
      <c r="V69" s="22" t="str">
        <f t="shared" si="88"/>
        <v/>
      </c>
      <c r="W69" s="22">
        <f t="shared" si="89"/>
        <v>36.326825952120231</v>
      </c>
      <c r="X69" s="22">
        <f t="shared" si="90"/>
        <v>0.58343634597260441</v>
      </c>
      <c r="Y69" s="22" t="str">
        <f t="shared" si="91"/>
        <v/>
      </c>
      <c r="Z69" s="22">
        <f t="shared" si="92"/>
        <v>0.58343634597260441</v>
      </c>
      <c r="AA69" s="2">
        <f t="shared" si="93"/>
        <v>450.28999999999996</v>
      </c>
      <c r="AB69" s="2" t="str">
        <f t="shared" si="94"/>
        <v/>
      </c>
      <c r="AC69" s="2">
        <f t="shared" si="95"/>
        <v>13.026999999999999</v>
      </c>
      <c r="AD69" s="52" t="str">
        <f t="shared" si="96"/>
        <v/>
      </c>
      <c r="AE69" s="52">
        <f t="shared" si="97"/>
        <v>0.21973081339249939</v>
      </c>
      <c r="AF69" s="52" t="str">
        <f t="shared" si="98"/>
        <v/>
      </c>
      <c r="AG69" s="52">
        <f t="shared" si="99"/>
        <v>0.78544921174198068</v>
      </c>
      <c r="AH69" s="52" t="str">
        <f t="shared" si="100"/>
        <v/>
      </c>
      <c r="AI69" s="52">
        <f t="shared" si="101"/>
        <v>0.40966838843500336</v>
      </c>
      <c r="AJ69" s="56" t="str">
        <f t="shared" si="102"/>
        <v/>
      </c>
      <c r="AK69" s="56">
        <f t="shared" si="103"/>
        <v>0.691936905391624</v>
      </c>
      <c r="AL69" s="56" t="str">
        <f t="shared" si="104"/>
        <v/>
      </c>
      <c r="AM69" s="56">
        <f t="shared" si="105"/>
        <v>1</v>
      </c>
      <c r="AX69" s="24"/>
      <c r="BE69" s="25">
        <f t="shared" si="58"/>
        <v>50.19999999999991</v>
      </c>
      <c r="BF69" s="25">
        <f t="shared" si="39"/>
        <v>0.12687618975824147</v>
      </c>
      <c r="BG69" s="25">
        <f t="shared" si="40"/>
        <v>0.42553551586759586</v>
      </c>
      <c r="BP69">
        <f t="shared" si="60"/>
        <v>0.83000000000000052</v>
      </c>
      <c r="BQ69" s="25">
        <f t="shared" si="43"/>
        <v>7.4325654390446847E-18</v>
      </c>
      <c r="BR69" s="25">
        <f t="shared" si="44"/>
        <v>9.3000720513457461E-13</v>
      </c>
      <c r="BS69" s="25"/>
      <c r="BT69" s="25"/>
    </row>
    <row r="70" spans="1:72">
      <c r="A70" t="s">
        <v>230</v>
      </c>
      <c r="B70" s="7">
        <v>44980</v>
      </c>
      <c r="C70" t="s">
        <v>81</v>
      </c>
      <c r="D70">
        <v>6</v>
      </c>
      <c r="E70" t="s">
        <v>26</v>
      </c>
      <c r="F70" s="9">
        <v>0</v>
      </c>
      <c r="I70" s="61">
        <v>23.4</v>
      </c>
      <c r="J70" s="61">
        <v>15.4</v>
      </c>
      <c r="K70" s="61">
        <v>10.7</v>
      </c>
      <c r="L70" s="63">
        <f t="shared" si="78"/>
        <v>19.399999999999999</v>
      </c>
      <c r="M70" s="15">
        <f t="shared" si="79"/>
        <v>1</v>
      </c>
      <c r="N70" s="15">
        <f t="shared" si="80"/>
        <v>0.65811965811965822</v>
      </c>
      <c r="O70" s="15">
        <f t="shared" si="81"/>
        <v>0.45726495726495725</v>
      </c>
      <c r="P70" s="15">
        <f t="shared" si="82"/>
        <v>0.829059829059829</v>
      </c>
      <c r="Q70" s="16">
        <f t="shared" si="83"/>
        <v>0.37179487179487175</v>
      </c>
      <c r="R70" s="16">
        <f t="shared" si="84"/>
        <v>0.34188034188034178</v>
      </c>
      <c r="S70" s="14" t="e">
        <f t="shared" si="85"/>
        <v>#N/A</v>
      </c>
      <c r="T70" s="14">
        <f t="shared" si="86"/>
        <v>0.34188034188034178</v>
      </c>
      <c r="U70" s="22">
        <f t="shared" si="87"/>
        <v>47.400214460856638</v>
      </c>
      <c r="V70" s="22" t="str">
        <f t="shared" si="88"/>
        <v/>
      </c>
      <c r="W70" s="22">
        <f t="shared" si="89"/>
        <v>47.400214460856638</v>
      </c>
      <c r="X70" s="22">
        <f t="shared" si="90"/>
        <v>0.50508771006349429</v>
      </c>
      <c r="Y70" s="22" t="str">
        <f t="shared" si="91"/>
        <v/>
      </c>
      <c r="Z70" s="22">
        <f t="shared" si="92"/>
        <v>0.50508771006349429</v>
      </c>
      <c r="AA70" s="2">
        <f t="shared" si="93"/>
        <v>521.45999999999992</v>
      </c>
      <c r="AB70" s="2" t="str">
        <f t="shared" si="94"/>
        <v/>
      </c>
      <c r="AC70" s="2">
        <f t="shared" si="95"/>
        <v>16.209</v>
      </c>
      <c r="AD70" s="52" t="str">
        <f t="shared" si="96"/>
        <v/>
      </c>
      <c r="AE70" s="52">
        <f t="shared" si="97"/>
        <v>0.79523293352832269</v>
      </c>
      <c r="AF70" s="52" t="str">
        <f t="shared" si="98"/>
        <v/>
      </c>
      <c r="AG70" s="52">
        <f t="shared" si="99"/>
        <v>0.5397731269611149</v>
      </c>
      <c r="AH70" s="52" t="str">
        <f t="shared" si="100"/>
        <v/>
      </c>
      <c r="AI70" s="52">
        <f t="shared" si="101"/>
        <v>0.23739643357960311</v>
      </c>
      <c r="AJ70" s="56" t="str">
        <f t="shared" si="102"/>
        <v/>
      </c>
      <c r="AK70" s="56">
        <f t="shared" si="103"/>
        <v>0.50157047657426546</v>
      </c>
      <c r="AL70" s="56" t="str">
        <f t="shared" si="104"/>
        <v/>
      </c>
      <c r="AM70" s="56">
        <f t="shared" si="105"/>
        <v>1</v>
      </c>
      <c r="AX70" s="24"/>
      <c r="BE70" s="25">
        <f t="shared" si="58"/>
        <v>50.599999999999909</v>
      </c>
      <c r="BF70" s="25">
        <f t="shared" si="39"/>
        <v>7.4189885938801575E-2</v>
      </c>
      <c r="BG70" s="25">
        <f t="shared" si="40"/>
        <v>0.28647425498971335</v>
      </c>
      <c r="BP70">
        <f t="shared" si="60"/>
        <v>0.84000000000000052</v>
      </c>
      <c r="BQ70" s="25">
        <f t="shared" si="43"/>
        <v>3.8579320531639938E-19</v>
      </c>
      <c r="BR70" s="25">
        <f t="shared" si="44"/>
        <v>3.8330781167676958E-14</v>
      </c>
      <c r="BS70" s="25"/>
      <c r="BT70" s="25"/>
    </row>
    <row r="71" spans="1:72">
      <c r="A71" t="s">
        <v>231</v>
      </c>
      <c r="B71" s="7">
        <v>44980</v>
      </c>
      <c r="C71" t="s">
        <v>81</v>
      </c>
      <c r="D71">
        <v>5</v>
      </c>
      <c r="E71" t="s">
        <v>26</v>
      </c>
      <c r="F71" s="9">
        <v>0</v>
      </c>
      <c r="G71">
        <v>10</v>
      </c>
      <c r="H71">
        <v>10</v>
      </c>
      <c r="I71" s="61">
        <v>23.5</v>
      </c>
      <c r="J71" s="61">
        <v>15</v>
      </c>
      <c r="K71" s="61">
        <v>11.6</v>
      </c>
      <c r="L71" s="63">
        <f t="shared" si="78"/>
        <v>19.25</v>
      </c>
      <c r="M71" s="15">
        <f t="shared" si="79"/>
        <v>1</v>
      </c>
      <c r="N71" s="15">
        <f t="shared" si="80"/>
        <v>0.63829787234042556</v>
      </c>
      <c r="O71" s="15">
        <f t="shared" si="81"/>
        <v>0.49361702127659574</v>
      </c>
      <c r="P71" s="15">
        <f t="shared" si="82"/>
        <v>0.81914893617021278</v>
      </c>
      <c r="Q71" s="16">
        <f t="shared" si="83"/>
        <v>0.32553191489361705</v>
      </c>
      <c r="R71" s="16">
        <f t="shared" si="84"/>
        <v>0.36170212765957444</v>
      </c>
      <c r="S71" s="14">
        <f t="shared" si="85"/>
        <v>0.36170212765957444</v>
      </c>
      <c r="T71" s="14" t="e">
        <f t="shared" si="86"/>
        <v>#N/A</v>
      </c>
      <c r="U71" s="22">
        <f t="shared" si="87"/>
        <v>41.987212495816664</v>
      </c>
      <c r="V71" s="22">
        <f t="shared" si="88"/>
        <v>41.987212495816664</v>
      </c>
      <c r="W71" s="22" t="str">
        <f t="shared" si="89"/>
        <v/>
      </c>
      <c r="X71" s="22">
        <f t="shared" si="90"/>
        <v>0.4866204442558576</v>
      </c>
      <c r="Y71" s="22">
        <f t="shared" si="91"/>
        <v>0.4866204442558576</v>
      </c>
      <c r="Z71" s="22" t="str">
        <f t="shared" si="92"/>
        <v/>
      </c>
      <c r="AA71" s="2">
        <f t="shared" si="93"/>
        <v>525.65</v>
      </c>
      <c r="AB71" s="2">
        <f t="shared" si="94"/>
        <v>16.012</v>
      </c>
      <c r="AC71" s="2" t="str">
        <f t="shared" si="95"/>
        <v/>
      </c>
      <c r="AD71" s="52">
        <f t="shared" si="96"/>
        <v>0.51391036413394675</v>
      </c>
      <c r="AE71" s="52" t="str">
        <f t="shared" si="97"/>
        <v/>
      </c>
      <c r="AF71" s="52">
        <f t="shared" si="98"/>
        <v>0.48186573000922761</v>
      </c>
      <c r="AG71" s="52" t="str">
        <f t="shared" si="99"/>
        <v/>
      </c>
      <c r="AH71" s="52">
        <f t="shared" si="100"/>
        <v>4.2211047138258129E-2</v>
      </c>
      <c r="AI71" s="52" t="str">
        <f t="shared" si="101"/>
        <v/>
      </c>
      <c r="AJ71" s="56">
        <f t="shared" si="102"/>
        <v>0.59462725431244579</v>
      </c>
      <c r="AK71" s="56" t="str">
        <f t="shared" si="103"/>
        <v/>
      </c>
      <c r="AL71" s="56">
        <f t="shared" si="104"/>
        <v>1</v>
      </c>
      <c r="AM71" s="56" t="str">
        <f t="shared" si="105"/>
        <v/>
      </c>
      <c r="AX71" s="24"/>
      <c r="BE71" s="25">
        <f t="shared" si="58"/>
        <v>50.999999999999908</v>
      </c>
      <c r="BF71" s="25">
        <f t="shared" ref="BF71:BF84" si="106">$AW$2*(2.71828^(-((BE71-$AX$2)^2)/(2*($AY$2^2))))</f>
        <v>4.203622426259223E-2</v>
      </c>
      <c r="BG71" s="25">
        <f t="shared" ref="BG71:BG84" si="107">$AZ$2*(2.71828^(-((BE71-$BA$2)^2)/(2*($BB$2^2))))</f>
        <v>0.18847545213322872</v>
      </c>
      <c r="BP71">
        <f t="shared" si="60"/>
        <v>0.85000000000000053</v>
      </c>
      <c r="BQ71" s="25">
        <f t="shared" ref="BQ71:BQ76" si="108">$BH$2*(2.71828^(-((BP71-$BI$2)^2)/(2*($BJ$2^2))))</f>
        <v>1.8105216981457523E-20</v>
      </c>
      <c r="BR71" s="25">
        <f t="shared" ref="BR71:BR76" si="109">$BK$2*(2.71828^(-((BP71-$BL$2)^2)/(2*($BM$2^2))))</f>
        <v>1.3485825788031306E-15</v>
      </c>
      <c r="BS71" s="25"/>
      <c r="BT71" s="25"/>
    </row>
    <row r="72" spans="1:72">
      <c r="A72" t="s">
        <v>232</v>
      </c>
      <c r="B72" s="7">
        <v>44980</v>
      </c>
      <c r="C72" t="s">
        <v>81</v>
      </c>
      <c r="D72">
        <v>6</v>
      </c>
      <c r="E72" t="s">
        <v>26</v>
      </c>
      <c r="F72" s="9">
        <v>1</v>
      </c>
      <c r="I72" s="61">
        <v>22.7</v>
      </c>
      <c r="J72" s="61">
        <v>14.5</v>
      </c>
      <c r="K72" s="61">
        <v>11.6</v>
      </c>
      <c r="L72" s="63">
        <f t="shared" si="78"/>
        <v>18.600000000000001</v>
      </c>
      <c r="M72" s="15">
        <f t="shared" si="79"/>
        <v>1</v>
      </c>
      <c r="N72" s="15">
        <f t="shared" si="80"/>
        <v>0.63876651982378851</v>
      </c>
      <c r="O72" s="15">
        <f t="shared" si="81"/>
        <v>0.51101321585903081</v>
      </c>
      <c r="P72" s="15">
        <f t="shared" si="82"/>
        <v>0.81938325991189431</v>
      </c>
      <c r="Q72" s="16">
        <f t="shared" si="83"/>
        <v>0.3083700440528635</v>
      </c>
      <c r="R72" s="16">
        <f t="shared" si="84"/>
        <v>0.36123348017621149</v>
      </c>
      <c r="S72" s="14" t="e">
        <f t="shared" si="85"/>
        <v>#N/A</v>
      </c>
      <c r="T72" s="14">
        <f t="shared" si="86"/>
        <v>0.36123348017621149</v>
      </c>
      <c r="U72" s="22">
        <f t="shared" si="87"/>
        <v>40.486011541998742</v>
      </c>
      <c r="V72" s="22" t="str">
        <f t="shared" si="88"/>
        <v/>
      </c>
      <c r="W72" s="22">
        <f t="shared" si="89"/>
        <v>40.486011541998742</v>
      </c>
      <c r="X72" s="22">
        <f t="shared" si="90"/>
        <v>0.47495443072928833</v>
      </c>
      <c r="Y72" s="22" t="str">
        <f t="shared" si="91"/>
        <v/>
      </c>
      <c r="Z72" s="22">
        <f t="shared" si="92"/>
        <v>0.47495443072928833</v>
      </c>
      <c r="AA72" s="2">
        <f t="shared" si="93"/>
        <v>489.18999999999994</v>
      </c>
      <c r="AB72" s="2" t="str">
        <f t="shared" si="94"/>
        <v/>
      </c>
      <c r="AC72" s="2">
        <f t="shared" si="95"/>
        <v>15.501999999999997</v>
      </c>
      <c r="AD72" s="52" t="str">
        <f t="shared" si="96"/>
        <v/>
      </c>
      <c r="AE72" s="52">
        <f t="shared" si="97"/>
        <v>0.43589049415552772</v>
      </c>
      <c r="AF72" s="52" t="str">
        <f t="shared" si="98"/>
        <v/>
      </c>
      <c r="AG72" s="52">
        <f t="shared" si="99"/>
        <v>0.44528486941156525</v>
      </c>
      <c r="AH72" s="52" t="str">
        <f t="shared" si="100"/>
        <v/>
      </c>
      <c r="AI72" s="52">
        <f t="shared" si="101"/>
        <v>0.31494607045617073</v>
      </c>
      <c r="AJ72" s="56" t="str">
        <f t="shared" si="102"/>
        <v/>
      </c>
      <c r="AK72" s="56">
        <f t="shared" si="103"/>
        <v>0.62043491601329415</v>
      </c>
      <c r="AL72" s="56" t="str">
        <f t="shared" si="104"/>
        <v/>
      </c>
      <c r="AM72" s="56" t="str">
        <f t="shared" si="105"/>
        <v/>
      </c>
      <c r="AX72" s="24"/>
      <c r="BE72" s="25">
        <f>BE71+0.4</f>
        <v>51.399999999999906</v>
      </c>
      <c r="BF72" s="25">
        <f t="shared" si="106"/>
        <v>2.307900698548274E-2</v>
      </c>
      <c r="BG72" s="25">
        <f t="shared" si="107"/>
        <v>0.12118347397307518</v>
      </c>
      <c r="BP72">
        <f t="shared" ref="BP72:BP76" si="110">BP71+0.01</f>
        <v>0.86000000000000054</v>
      </c>
      <c r="BQ72" s="25">
        <f t="shared" si="108"/>
        <v>7.6822108006661788E-22</v>
      </c>
      <c r="BR72" s="25">
        <f t="shared" si="109"/>
        <v>4.0501950464411122E-17</v>
      </c>
      <c r="BS72" s="25"/>
      <c r="BT72" s="25"/>
    </row>
    <row r="73" spans="1:72">
      <c r="A73" t="s">
        <v>233</v>
      </c>
      <c r="B73" s="7">
        <v>44980</v>
      </c>
      <c r="C73" t="s">
        <v>81</v>
      </c>
      <c r="D73">
        <v>6</v>
      </c>
      <c r="E73" t="s">
        <v>26</v>
      </c>
      <c r="F73" s="9">
        <v>0</v>
      </c>
      <c r="I73" s="61">
        <v>19.399999999999999</v>
      </c>
      <c r="J73" s="61">
        <v>11.5</v>
      </c>
      <c r="K73" s="61">
        <v>8.4</v>
      </c>
      <c r="L73" s="63">
        <f t="shared" si="78"/>
        <v>15.45</v>
      </c>
      <c r="M73" s="15">
        <f t="shared" si="79"/>
        <v>1</v>
      </c>
      <c r="N73" s="15">
        <f t="shared" si="80"/>
        <v>0.59278350515463918</v>
      </c>
      <c r="O73" s="15">
        <f t="shared" si="81"/>
        <v>0.43298969072164956</v>
      </c>
      <c r="P73" s="15">
        <f t="shared" si="82"/>
        <v>0.79639175257731964</v>
      </c>
      <c r="Q73" s="16">
        <f t="shared" si="83"/>
        <v>0.36340206185567009</v>
      </c>
      <c r="R73" s="16">
        <f t="shared" si="84"/>
        <v>0.40721649484536082</v>
      </c>
      <c r="S73" s="14" t="e">
        <f t="shared" si="85"/>
        <v>#N/A</v>
      </c>
      <c r="T73" s="14">
        <f t="shared" si="86"/>
        <v>0.40721649484536082</v>
      </c>
      <c r="U73" s="22">
        <f t="shared" si="87"/>
        <v>41.745883858306208</v>
      </c>
      <c r="V73" s="22" t="str">
        <f t="shared" si="88"/>
        <v/>
      </c>
      <c r="W73" s="22">
        <f t="shared" si="89"/>
        <v>41.745883858306208</v>
      </c>
      <c r="X73" s="22">
        <f t="shared" si="90"/>
        <v>0.5457896410111629</v>
      </c>
      <c r="Y73" s="22" t="str">
        <f t="shared" si="91"/>
        <v/>
      </c>
      <c r="Z73" s="22">
        <f t="shared" si="92"/>
        <v>0.5457896410111629</v>
      </c>
      <c r="AA73" s="2">
        <f t="shared" si="93"/>
        <v>356.46</v>
      </c>
      <c r="AB73" s="2" t="str">
        <f t="shared" si="94"/>
        <v/>
      </c>
      <c r="AC73" s="2">
        <f t="shared" si="95"/>
        <v>12.518000000000001</v>
      </c>
      <c r="AD73" s="52" t="str">
        <f t="shared" si="96"/>
        <v/>
      </c>
      <c r="AE73" s="52">
        <f t="shared" si="97"/>
        <v>0.50136811995754282</v>
      </c>
      <c r="AF73" s="52" t="str">
        <f t="shared" si="98"/>
        <v/>
      </c>
      <c r="AG73" s="52">
        <f t="shared" si="99"/>
        <v>0.66740127162778762</v>
      </c>
      <c r="AH73" s="52" t="str">
        <f t="shared" si="100"/>
        <v/>
      </c>
      <c r="AI73" s="52">
        <f t="shared" si="101"/>
        <v>0.12362137719310086</v>
      </c>
      <c r="AJ73" s="56" t="str">
        <f t="shared" si="102"/>
        <v/>
      </c>
      <c r="AK73" s="56">
        <f t="shared" si="103"/>
        <v>0.59877601788720702</v>
      </c>
      <c r="AL73" s="56" t="str">
        <f t="shared" si="104"/>
        <v/>
      </c>
      <c r="AM73" s="56">
        <f t="shared" si="105"/>
        <v>1</v>
      </c>
      <c r="AX73" s="24"/>
      <c r="BE73" s="25">
        <f t="shared" si="58"/>
        <v>51.799999999999905</v>
      </c>
      <c r="BF73" s="25">
        <f t="shared" si="106"/>
        <v>1.2277924493418852E-2</v>
      </c>
      <c r="BG73" s="25">
        <f t="shared" si="107"/>
        <v>7.6146757016081854E-2</v>
      </c>
      <c r="BP73">
        <f t="shared" si="110"/>
        <v>0.87000000000000055</v>
      </c>
      <c r="BQ73" s="25">
        <f t="shared" si="108"/>
        <v>2.9471485902045295E-23</v>
      </c>
      <c r="BR73" s="25">
        <f t="shared" si="109"/>
        <v>1.0383478053793227E-18</v>
      </c>
      <c r="BS73" s="25"/>
      <c r="BT73" s="25"/>
    </row>
    <row r="74" spans="1:72">
      <c r="A74" t="s">
        <v>234</v>
      </c>
      <c r="B74" s="7">
        <v>44980</v>
      </c>
      <c r="C74" t="s">
        <v>81</v>
      </c>
      <c r="D74">
        <v>5</v>
      </c>
      <c r="E74" t="s">
        <v>26</v>
      </c>
      <c r="F74" s="9">
        <v>0</v>
      </c>
      <c r="G74">
        <v>9</v>
      </c>
      <c r="H74">
        <v>10</v>
      </c>
      <c r="I74" s="61">
        <v>22.1</v>
      </c>
      <c r="J74" s="61">
        <v>14</v>
      </c>
      <c r="K74" s="61">
        <v>10.4</v>
      </c>
      <c r="L74" s="63">
        <f t="shared" si="78"/>
        <v>18.05</v>
      </c>
      <c r="M74" s="15">
        <f t="shared" si="79"/>
        <v>1</v>
      </c>
      <c r="N74" s="15">
        <f t="shared" si="80"/>
        <v>0.63348416289592757</v>
      </c>
      <c r="O74" s="15">
        <f t="shared" si="81"/>
        <v>0.47058823529411764</v>
      </c>
      <c r="P74" s="15">
        <f t="shared" si="82"/>
        <v>0.81674208144796379</v>
      </c>
      <c r="Q74" s="16">
        <f t="shared" si="83"/>
        <v>0.34615384615384615</v>
      </c>
      <c r="R74" s="16">
        <f t="shared" si="84"/>
        <v>0.36651583710407243</v>
      </c>
      <c r="S74" s="14">
        <f t="shared" si="85"/>
        <v>0.36651583710407243</v>
      </c>
      <c r="T74" s="14" t="e">
        <f t="shared" si="86"/>
        <v>#N/A</v>
      </c>
      <c r="U74" s="22">
        <f t="shared" si="87"/>
        <v>43.363422958383282</v>
      </c>
      <c r="V74" s="22">
        <f t="shared" si="88"/>
        <v>43.363422958383282</v>
      </c>
      <c r="W74" s="22" t="str">
        <f t="shared" si="89"/>
        <v/>
      </c>
      <c r="X74" s="22">
        <f t="shared" si="90"/>
        <v>0.50413921098759973</v>
      </c>
      <c r="Y74" s="22">
        <f t="shared" si="91"/>
        <v>0.50413921098759973</v>
      </c>
      <c r="Z74" s="22" t="str">
        <f t="shared" si="92"/>
        <v/>
      </c>
      <c r="AA74" s="2">
        <f t="shared" si="93"/>
        <v>464.0100000000001</v>
      </c>
      <c r="AB74" s="2">
        <f t="shared" si="94"/>
        <v>14.947999999999999</v>
      </c>
      <c r="AC74" s="2" t="str">
        <f t="shared" si="95"/>
        <v/>
      </c>
      <c r="AD74" s="52">
        <f t="shared" si="96"/>
        <v>0.58543427376064583</v>
      </c>
      <c r="AE74" s="52" t="str">
        <f t="shared" si="97"/>
        <v/>
      </c>
      <c r="AF74" s="52">
        <f t="shared" si="98"/>
        <v>0.53679893938681733</v>
      </c>
      <c r="AG74" s="52" t="str">
        <f t="shared" si="99"/>
        <v/>
      </c>
      <c r="AH74" s="52">
        <f t="shared" si="100"/>
        <v>0.10311383905166609</v>
      </c>
      <c r="AI74" s="52" t="str">
        <f t="shared" si="101"/>
        <v/>
      </c>
      <c r="AJ74" s="56">
        <f t="shared" si="102"/>
        <v>0.57096834711766997</v>
      </c>
      <c r="AK74" s="56" t="str">
        <f t="shared" si="103"/>
        <v/>
      </c>
      <c r="AL74" s="56">
        <f t="shared" si="104"/>
        <v>1</v>
      </c>
      <c r="AM74" s="56" t="str">
        <f t="shared" si="105"/>
        <v/>
      </c>
      <c r="AX74" s="24"/>
      <c r="BE74" s="25">
        <f t="shared" ref="BE74:BE75" si="111">BE73+0.4</f>
        <v>52.199999999999903</v>
      </c>
      <c r="BF74" s="25">
        <f t="shared" si="106"/>
        <v>6.3291766794391843E-3</v>
      </c>
      <c r="BG74" s="25">
        <f t="shared" si="107"/>
        <v>4.6760466498328275E-2</v>
      </c>
      <c r="BP74">
        <f t="shared" si="110"/>
        <v>0.88000000000000056</v>
      </c>
      <c r="BQ74" s="25">
        <f t="shared" si="108"/>
        <v>1.0222360016567158E-24</v>
      </c>
      <c r="BR74" s="25">
        <f t="shared" si="109"/>
        <v>2.2723659790891111E-20</v>
      </c>
      <c r="BS74" s="25"/>
      <c r="BT74" s="25"/>
    </row>
    <row r="75" spans="1:72">
      <c r="A75" t="s">
        <v>235</v>
      </c>
      <c r="B75" s="7">
        <v>44980</v>
      </c>
      <c r="C75" t="s">
        <v>81</v>
      </c>
      <c r="D75">
        <v>6</v>
      </c>
      <c r="E75" t="s">
        <v>26</v>
      </c>
      <c r="F75" s="9">
        <v>1</v>
      </c>
      <c r="I75" s="61">
        <v>25.5</v>
      </c>
      <c r="J75" s="61">
        <v>13.3</v>
      </c>
      <c r="K75" s="61">
        <v>9.5</v>
      </c>
      <c r="L75" s="63">
        <f t="shared" si="78"/>
        <v>19.399999999999999</v>
      </c>
      <c r="M75" s="15">
        <f t="shared" si="79"/>
        <v>1</v>
      </c>
      <c r="N75" s="15">
        <f t="shared" si="80"/>
        <v>0.52156862745098043</v>
      </c>
      <c r="O75" s="15">
        <f t="shared" si="81"/>
        <v>0.37254901960784315</v>
      </c>
      <c r="P75" s="15">
        <f t="shared" si="82"/>
        <v>0.76078431372549016</v>
      </c>
      <c r="Q75" s="16">
        <f t="shared" si="83"/>
        <v>0.38823529411764701</v>
      </c>
      <c r="R75" s="16">
        <f t="shared" si="84"/>
        <v>0.47843137254901957</v>
      </c>
      <c r="S75" s="14" t="e">
        <f t="shared" si="85"/>
        <v>#N/A</v>
      </c>
      <c r="T75" s="14">
        <f t="shared" si="86"/>
        <v>0.47843137254901957</v>
      </c>
      <c r="U75" s="22">
        <f t="shared" si="87"/>
        <v>39.058480206247246</v>
      </c>
      <c r="V75" s="22" t="str">
        <f t="shared" si="88"/>
        <v/>
      </c>
      <c r="W75" s="22">
        <f t="shared" si="89"/>
        <v>39.058480206247246</v>
      </c>
      <c r="X75" s="22">
        <f t="shared" si="90"/>
        <v>0.61613571706057968</v>
      </c>
      <c r="Y75" s="22" t="str">
        <f t="shared" si="91"/>
        <v/>
      </c>
      <c r="Z75" s="22">
        <f t="shared" si="92"/>
        <v>0.61613571706057968</v>
      </c>
      <c r="AA75" s="2">
        <f t="shared" si="93"/>
        <v>627.45000000000005</v>
      </c>
      <c r="AB75" s="2" t="str">
        <f t="shared" si="94"/>
        <v/>
      </c>
      <c r="AC75" s="2">
        <f t="shared" si="95"/>
        <v>15.074999999999999</v>
      </c>
      <c r="AD75" s="52" t="str">
        <f t="shared" si="96"/>
        <v/>
      </c>
      <c r="AE75" s="52">
        <f t="shared" si="97"/>
        <v>0.36169935477329201</v>
      </c>
      <c r="AF75" s="52" t="str">
        <f t="shared" si="98"/>
        <v/>
      </c>
      <c r="AG75" s="52">
        <f t="shared" si="99"/>
        <v>0.88798390644948988</v>
      </c>
      <c r="AH75" s="52" t="str">
        <f t="shared" si="100"/>
        <v/>
      </c>
      <c r="AI75" s="52">
        <f t="shared" si="101"/>
        <v>0.31958640484187928</v>
      </c>
      <c r="AJ75" s="56" t="str">
        <f t="shared" si="102"/>
        <v/>
      </c>
      <c r="AK75" s="56">
        <f t="shared" si="103"/>
        <v>0.64497609798279554</v>
      </c>
      <c r="AL75" s="56" t="str">
        <f t="shared" si="104"/>
        <v/>
      </c>
      <c r="AM75" s="56">
        <f t="shared" si="105"/>
        <v>1</v>
      </c>
      <c r="AX75" s="24"/>
      <c r="BE75" s="25">
        <f t="shared" si="111"/>
        <v>52.599999999999902</v>
      </c>
      <c r="BF75" s="25">
        <f t="shared" si="106"/>
        <v>3.161432412140462E-3</v>
      </c>
      <c r="BG75" s="25">
        <f t="shared" si="107"/>
        <v>2.806245536723859E-2</v>
      </c>
      <c r="BP75">
        <f t="shared" si="110"/>
        <v>0.89000000000000057</v>
      </c>
      <c r="BQ75" s="25">
        <f t="shared" si="108"/>
        <v>3.2057794308683484E-26</v>
      </c>
      <c r="BR75" s="25">
        <f t="shared" si="109"/>
        <v>4.2450442916922709E-22</v>
      </c>
      <c r="BS75" s="25"/>
      <c r="BT75" s="25"/>
    </row>
    <row r="76" spans="1:72">
      <c r="A76" t="s">
        <v>236</v>
      </c>
      <c r="B76" s="7">
        <v>44980</v>
      </c>
      <c r="C76" t="s">
        <v>81</v>
      </c>
      <c r="D76">
        <v>5</v>
      </c>
      <c r="E76" t="s">
        <v>17</v>
      </c>
      <c r="G76">
        <v>10</v>
      </c>
      <c r="H76">
        <v>10</v>
      </c>
      <c r="I76" s="61">
        <v>18.600000000000001</v>
      </c>
      <c r="J76" s="61">
        <v>11.5</v>
      </c>
      <c r="K76" s="61">
        <v>8.5</v>
      </c>
      <c r="L76" s="63">
        <f t="shared" si="78"/>
        <v>15.05</v>
      </c>
      <c r="M76" s="15">
        <f t="shared" si="79"/>
        <v>1</v>
      </c>
      <c r="N76" s="15">
        <f t="shared" si="80"/>
        <v>0.61827956989247312</v>
      </c>
      <c r="O76" s="15">
        <f t="shared" si="81"/>
        <v>0.45698924731182794</v>
      </c>
      <c r="P76" s="15">
        <f t="shared" si="82"/>
        <v>0.80913978494623651</v>
      </c>
      <c r="Q76" s="16">
        <f t="shared" si="83"/>
        <v>0.35215053763440857</v>
      </c>
      <c r="R76" s="16">
        <f t="shared" si="84"/>
        <v>0.38172043010752688</v>
      </c>
      <c r="S76" s="14">
        <f t="shared" si="85"/>
        <v>0.38172043010752688</v>
      </c>
      <c r="T76" s="14" t="e">
        <f t="shared" si="86"/>
        <v>#N/A</v>
      </c>
      <c r="U76" s="22">
        <f t="shared" si="87"/>
        <v>42.692627003037792</v>
      </c>
      <c r="V76" s="22">
        <f t="shared" si="88"/>
        <v>42.692627003037792</v>
      </c>
      <c r="W76" s="22" t="str">
        <f t="shared" si="89"/>
        <v/>
      </c>
      <c r="X76" s="22">
        <f t="shared" si="90"/>
        <v>0.51934621199896924</v>
      </c>
      <c r="Y76" s="22">
        <f t="shared" si="91"/>
        <v>0.51934621199896924</v>
      </c>
      <c r="Z76" s="22" t="str">
        <f t="shared" si="92"/>
        <v/>
      </c>
      <c r="AA76" s="2">
        <f t="shared" si="93"/>
        <v>325.96000000000004</v>
      </c>
      <c r="AB76" s="2">
        <f t="shared" si="94"/>
        <v>12.365</v>
      </c>
      <c r="AC76" s="2" t="str">
        <f t="shared" si="95"/>
        <v/>
      </c>
      <c r="AD76" s="52">
        <f t="shared" si="96"/>
        <v>0.5505719103408766</v>
      </c>
      <c r="AE76" s="52" t="str">
        <f t="shared" si="97"/>
        <v/>
      </c>
      <c r="AF76" s="52">
        <f t="shared" si="98"/>
        <v>0.58448319612443222</v>
      </c>
      <c r="AG76" s="52" t="str">
        <f t="shared" si="99"/>
        <v/>
      </c>
      <c r="AH76" s="52">
        <f t="shared" si="100"/>
        <v>0.13909649195951412</v>
      </c>
      <c r="AI76" s="52" t="str">
        <f t="shared" si="101"/>
        <v/>
      </c>
      <c r="AJ76" s="56">
        <f t="shared" si="102"/>
        <v>0.58250023100158699</v>
      </c>
      <c r="AK76" s="56" t="str">
        <f t="shared" si="103"/>
        <v/>
      </c>
      <c r="AL76" s="56" t="str">
        <f t="shared" si="104"/>
        <v/>
      </c>
      <c r="AM76" s="56" t="str">
        <f t="shared" si="105"/>
        <v/>
      </c>
      <c r="AX76" s="24"/>
      <c r="BE76" s="25">
        <f>BE75+0.4</f>
        <v>52.999999999999901</v>
      </c>
      <c r="BF76" s="25">
        <f t="shared" si="106"/>
        <v>1.5301535182354563E-3</v>
      </c>
      <c r="BG76" s="25">
        <f t="shared" si="107"/>
        <v>1.6458562816497286E-2</v>
      </c>
      <c r="BP76">
        <f t="shared" si="110"/>
        <v>0.90000000000000058</v>
      </c>
      <c r="BQ76" s="25">
        <f t="shared" si="108"/>
        <v>9.0896975034987024E-28</v>
      </c>
      <c r="BR76" s="25">
        <f t="shared" si="109"/>
        <v>6.7694703649930566E-24</v>
      </c>
      <c r="BS76" s="25"/>
      <c r="BT76" s="25"/>
    </row>
    <row r="77" spans="1:72">
      <c r="A77" t="s">
        <v>237</v>
      </c>
      <c r="B77" s="7">
        <v>44980</v>
      </c>
      <c r="C77" t="s">
        <v>81</v>
      </c>
      <c r="D77">
        <v>5</v>
      </c>
      <c r="E77" t="s">
        <v>26</v>
      </c>
      <c r="F77" s="9">
        <v>0</v>
      </c>
      <c r="G77">
        <v>9</v>
      </c>
      <c r="H77">
        <v>9</v>
      </c>
      <c r="I77" s="61">
        <v>27</v>
      </c>
      <c r="J77" s="61">
        <v>17.3</v>
      </c>
      <c r="K77" s="61">
        <v>12.7</v>
      </c>
      <c r="L77" s="63">
        <f t="shared" si="78"/>
        <v>22.15</v>
      </c>
      <c r="M77" s="15">
        <f t="shared" si="79"/>
        <v>1</v>
      </c>
      <c r="N77" s="15">
        <f t="shared" si="80"/>
        <v>0.64074074074074072</v>
      </c>
      <c r="O77" s="15">
        <f t="shared" si="81"/>
        <v>0.47037037037037033</v>
      </c>
      <c r="P77" s="15">
        <f t="shared" si="82"/>
        <v>0.82037037037037031</v>
      </c>
      <c r="Q77" s="16">
        <f t="shared" si="83"/>
        <v>0.35</v>
      </c>
      <c r="R77" s="16">
        <f t="shared" si="84"/>
        <v>0.35925925925925928</v>
      </c>
      <c r="S77" s="14">
        <f t="shared" si="85"/>
        <v>0.35925925925925928</v>
      </c>
      <c r="T77" s="14" t="e">
        <f t="shared" si="86"/>
        <v>#N/A</v>
      </c>
      <c r="U77" s="22">
        <f t="shared" si="87"/>
        <v>44.252055810711411</v>
      </c>
      <c r="V77" s="22">
        <f t="shared" si="88"/>
        <v>44.252055810711411</v>
      </c>
      <c r="W77" s="22" t="str">
        <f t="shared" si="89"/>
        <v/>
      </c>
      <c r="X77" s="22">
        <f t="shared" si="90"/>
        <v>0.50156476686815998</v>
      </c>
      <c r="Y77" s="22">
        <f t="shared" si="91"/>
        <v>0.50156476686815998</v>
      </c>
      <c r="Z77" s="22" t="str">
        <f t="shared" si="92"/>
        <v/>
      </c>
      <c r="AA77" s="2">
        <f t="shared" si="93"/>
        <v>699</v>
      </c>
      <c r="AB77" s="2">
        <f t="shared" si="94"/>
        <v>18.398999999999997</v>
      </c>
      <c r="AC77" s="2" t="str">
        <f t="shared" si="95"/>
        <v/>
      </c>
      <c r="AD77" s="52">
        <f t="shared" si="96"/>
        <v>0.63161797716215684</v>
      </c>
      <c r="AE77" s="52" t="str">
        <f t="shared" si="97"/>
        <v/>
      </c>
      <c r="AF77" s="52">
        <f t="shared" si="98"/>
        <v>0.52872631190055452</v>
      </c>
      <c r="AG77" s="52" t="str">
        <f t="shared" si="99"/>
        <v/>
      </c>
      <c r="AH77" s="52">
        <f t="shared" si="100"/>
        <v>0.12609498213682691</v>
      </c>
      <c r="AI77" s="52" t="str">
        <f t="shared" si="101"/>
        <v/>
      </c>
      <c r="AJ77" s="56">
        <f t="shared" si="102"/>
        <v>0.55569155424672312</v>
      </c>
      <c r="AK77" s="56" t="str">
        <f t="shared" si="103"/>
        <v/>
      </c>
      <c r="AL77" s="56">
        <f t="shared" si="104"/>
        <v>1</v>
      </c>
      <c r="AM77" s="56" t="str">
        <f t="shared" si="105"/>
        <v/>
      </c>
      <c r="AX77" s="24"/>
      <c r="BE77" s="25">
        <f t="shared" ref="BE77:BE78" si="112">BE76+0.4</f>
        <v>53.399999999999899</v>
      </c>
      <c r="BF77" s="25">
        <f t="shared" si="106"/>
        <v>7.1762990813648041E-4</v>
      </c>
      <c r="BG77" s="25">
        <f t="shared" si="107"/>
        <v>9.4336022357549079E-3</v>
      </c>
    </row>
    <row r="78" spans="1:72">
      <c r="A78" t="s">
        <v>238</v>
      </c>
      <c r="B78" s="7">
        <v>44980</v>
      </c>
      <c r="C78" t="s">
        <v>81</v>
      </c>
      <c r="D78">
        <v>5</v>
      </c>
      <c r="E78" t="s">
        <v>17</v>
      </c>
      <c r="G78">
        <v>9</v>
      </c>
      <c r="H78">
        <v>9</v>
      </c>
      <c r="I78" s="61">
        <v>21.7</v>
      </c>
      <c r="J78" s="61">
        <v>13.8</v>
      </c>
      <c r="K78" s="61">
        <v>10.6</v>
      </c>
      <c r="L78" s="63">
        <f t="shared" si="78"/>
        <v>17.75</v>
      </c>
      <c r="M78" s="15">
        <f t="shared" si="79"/>
        <v>1</v>
      </c>
      <c r="N78" s="15">
        <f t="shared" si="80"/>
        <v>0.63594470046082952</v>
      </c>
      <c r="O78" s="15">
        <f t="shared" si="81"/>
        <v>0.48847926267281105</v>
      </c>
      <c r="P78" s="15">
        <f t="shared" si="82"/>
        <v>0.81797235023041481</v>
      </c>
      <c r="Q78" s="16">
        <f t="shared" si="83"/>
        <v>0.32949308755760376</v>
      </c>
      <c r="R78" s="16">
        <f t="shared" si="84"/>
        <v>0.36405529953917048</v>
      </c>
      <c r="S78" s="14">
        <f t="shared" si="85"/>
        <v>0.36405529953917048</v>
      </c>
      <c r="T78" s="14" t="e">
        <f t="shared" si="86"/>
        <v>#N/A</v>
      </c>
      <c r="U78" s="22">
        <f t="shared" si="87"/>
        <v>42.147088689213639</v>
      </c>
      <c r="V78" s="22">
        <f t="shared" si="88"/>
        <v>42.147088689213639</v>
      </c>
      <c r="W78" s="22" t="str">
        <f t="shared" si="89"/>
        <v/>
      </c>
      <c r="X78" s="22">
        <f t="shared" si="90"/>
        <v>0.4910213395269068</v>
      </c>
      <c r="Y78" s="22">
        <f t="shared" si="91"/>
        <v>0.4910213395269068</v>
      </c>
      <c r="Z78" s="22" t="str">
        <f t="shared" si="92"/>
        <v/>
      </c>
      <c r="AA78" s="2">
        <f t="shared" si="93"/>
        <v>446.48999999999995</v>
      </c>
      <c r="AB78" s="2">
        <f t="shared" si="94"/>
        <v>14.742000000000001</v>
      </c>
      <c r="AC78" s="2" t="str">
        <f t="shared" si="95"/>
        <v/>
      </c>
      <c r="AD78" s="52">
        <f t="shared" si="96"/>
        <v>0.52221939150949792</v>
      </c>
      <c r="AE78" s="52" t="str">
        <f t="shared" si="97"/>
        <v/>
      </c>
      <c r="AF78" s="52">
        <f t="shared" si="98"/>
        <v>0.49566551997591257</v>
      </c>
      <c r="AG78" s="52" t="str">
        <f t="shared" si="99"/>
        <v/>
      </c>
      <c r="AH78" s="52">
        <f t="shared" si="100"/>
        <v>5.1526552133130718E-2</v>
      </c>
      <c r="AI78" s="52" t="str">
        <f t="shared" si="101"/>
        <v/>
      </c>
      <c r="AJ78" s="56">
        <f t="shared" si="102"/>
        <v>0.59187876770729475</v>
      </c>
      <c r="AK78" s="56" t="str">
        <f t="shared" si="103"/>
        <v/>
      </c>
      <c r="AL78" s="56">
        <f t="shared" si="104"/>
        <v>1</v>
      </c>
      <c r="AM78" s="56" t="str">
        <f t="shared" si="105"/>
        <v/>
      </c>
      <c r="AX78" s="24"/>
      <c r="BE78" s="25">
        <f t="shared" si="112"/>
        <v>53.799999999999898</v>
      </c>
      <c r="BF78" s="25">
        <f t="shared" si="106"/>
        <v>3.2612228496690145E-4</v>
      </c>
      <c r="BG78" s="25">
        <f t="shared" si="107"/>
        <v>5.2842410539124304E-3</v>
      </c>
    </row>
    <row r="79" spans="1:72">
      <c r="L79" s="63">
        <f t="shared" si="78"/>
        <v>0</v>
      </c>
      <c r="M79" s="15" t="e">
        <f t="shared" si="79"/>
        <v>#DIV/0!</v>
      </c>
      <c r="N79" s="15" t="e">
        <f t="shared" si="80"/>
        <v>#DIV/0!</v>
      </c>
      <c r="O79" s="15" t="e">
        <f t="shared" si="81"/>
        <v>#DIV/0!</v>
      </c>
      <c r="P79" s="15" t="e">
        <f t="shared" si="82"/>
        <v>#DIV/0!</v>
      </c>
      <c r="Q79" s="16" t="e">
        <f t="shared" si="83"/>
        <v>#DIV/0!</v>
      </c>
      <c r="R79" s="16" t="e">
        <f t="shared" si="84"/>
        <v>#DIV/0!</v>
      </c>
      <c r="S79" s="14" t="e">
        <f t="shared" si="85"/>
        <v>#N/A</v>
      </c>
      <c r="T79" s="14" t="e">
        <f t="shared" si="86"/>
        <v>#N/A</v>
      </c>
      <c r="U79" s="22" t="e">
        <f t="shared" si="87"/>
        <v>#DIV/0!</v>
      </c>
      <c r="V79" s="22" t="str">
        <f t="shared" si="88"/>
        <v/>
      </c>
      <c r="W79" s="22" t="str">
        <f t="shared" si="89"/>
        <v/>
      </c>
      <c r="X79" s="22" t="e">
        <f t="shared" si="90"/>
        <v>#DIV/0!</v>
      </c>
      <c r="Y79" s="22" t="str">
        <f t="shared" si="91"/>
        <v/>
      </c>
      <c r="Z79" s="22" t="str">
        <f t="shared" si="92"/>
        <v/>
      </c>
      <c r="AA79" s="2">
        <f t="shared" si="93"/>
        <v>0</v>
      </c>
      <c r="AB79" s="2" t="str">
        <f t="shared" si="94"/>
        <v/>
      </c>
      <c r="AC79" s="2" t="str">
        <f t="shared" si="95"/>
        <v/>
      </c>
      <c r="AD79" s="52" t="str">
        <f t="shared" si="96"/>
        <v/>
      </c>
      <c r="AE79" s="52" t="str">
        <f t="shared" si="97"/>
        <v/>
      </c>
      <c r="AF79" s="52" t="str">
        <f t="shared" si="98"/>
        <v/>
      </c>
      <c r="AG79" s="52" t="str">
        <f t="shared" si="99"/>
        <v/>
      </c>
      <c r="AH79" s="52" t="str">
        <f t="shared" si="100"/>
        <v/>
      </c>
      <c r="AI79" s="52" t="str">
        <f t="shared" si="101"/>
        <v/>
      </c>
      <c r="AJ79" s="56" t="str">
        <f t="shared" si="102"/>
        <v/>
      </c>
      <c r="AK79" s="56" t="str">
        <f t="shared" si="103"/>
        <v/>
      </c>
      <c r="AL79" s="56" t="str">
        <f t="shared" si="104"/>
        <v/>
      </c>
      <c r="AM79" s="56" t="str">
        <f t="shared" si="105"/>
        <v/>
      </c>
      <c r="AX79" s="24"/>
      <c r="BE79" s="25">
        <f>BE78+0.4</f>
        <v>54.199999999999896</v>
      </c>
      <c r="BF79" s="25">
        <f t="shared" si="106"/>
        <v>1.4360674687236173E-4</v>
      </c>
      <c r="BG79" s="25">
        <f t="shared" si="107"/>
        <v>2.8927246110084298E-3</v>
      </c>
    </row>
    <row r="80" spans="1:72">
      <c r="L80" s="63">
        <f t="shared" si="78"/>
        <v>0</v>
      </c>
      <c r="M80" s="15" t="e">
        <f t="shared" si="79"/>
        <v>#DIV/0!</v>
      </c>
      <c r="N80" s="15" t="e">
        <f t="shared" si="80"/>
        <v>#DIV/0!</v>
      </c>
      <c r="O80" s="15" t="e">
        <f t="shared" si="81"/>
        <v>#DIV/0!</v>
      </c>
      <c r="P80" s="15" t="e">
        <f t="shared" si="82"/>
        <v>#DIV/0!</v>
      </c>
      <c r="Q80" s="16" t="e">
        <f t="shared" si="83"/>
        <v>#DIV/0!</v>
      </c>
      <c r="R80" s="16" t="e">
        <f t="shared" si="84"/>
        <v>#DIV/0!</v>
      </c>
      <c r="S80" s="14" t="e">
        <f t="shared" si="85"/>
        <v>#N/A</v>
      </c>
      <c r="T80" s="14" t="e">
        <f t="shared" si="86"/>
        <v>#N/A</v>
      </c>
      <c r="U80" s="22" t="e">
        <f t="shared" si="87"/>
        <v>#DIV/0!</v>
      </c>
      <c r="V80" s="22" t="str">
        <f t="shared" si="88"/>
        <v/>
      </c>
      <c r="W80" s="22" t="str">
        <f t="shared" si="89"/>
        <v/>
      </c>
      <c r="X80" s="22" t="e">
        <f t="shared" si="90"/>
        <v>#DIV/0!</v>
      </c>
      <c r="Y80" s="22" t="str">
        <f t="shared" si="91"/>
        <v/>
      </c>
      <c r="Z80" s="22" t="str">
        <f t="shared" si="92"/>
        <v/>
      </c>
      <c r="AA80" s="2">
        <f t="shared" si="93"/>
        <v>0</v>
      </c>
      <c r="AB80" s="2" t="str">
        <f t="shared" si="94"/>
        <v/>
      </c>
      <c r="AC80" s="2" t="str">
        <f t="shared" si="95"/>
        <v/>
      </c>
      <c r="AD80" s="52" t="str">
        <f t="shared" si="96"/>
        <v/>
      </c>
      <c r="AE80" s="52" t="str">
        <f t="shared" si="97"/>
        <v/>
      </c>
      <c r="AF80" s="52" t="str">
        <f t="shared" si="98"/>
        <v/>
      </c>
      <c r="AG80" s="52" t="str">
        <f t="shared" si="99"/>
        <v/>
      </c>
      <c r="AH80" s="52" t="str">
        <f t="shared" si="100"/>
        <v/>
      </c>
      <c r="AI80" s="52" t="str">
        <f t="shared" si="101"/>
        <v/>
      </c>
      <c r="AJ80" s="56" t="str">
        <f t="shared" si="102"/>
        <v/>
      </c>
      <c r="AK80" s="56" t="str">
        <f t="shared" si="103"/>
        <v/>
      </c>
      <c r="AL80" s="56" t="str">
        <f t="shared" si="104"/>
        <v/>
      </c>
      <c r="AM80" s="56" t="str">
        <f t="shared" si="105"/>
        <v/>
      </c>
      <c r="AX80" s="24"/>
      <c r="BE80" s="25">
        <f t="shared" ref="BE80:BE84" si="113">BE79+0.4</f>
        <v>54.599999999999895</v>
      </c>
      <c r="BF80" s="25">
        <f t="shared" si="106"/>
        <v>6.1275044209606908E-5</v>
      </c>
      <c r="BG80" s="25">
        <f t="shared" si="107"/>
        <v>1.5475723780120092E-3</v>
      </c>
    </row>
    <row r="81" spans="12:59">
      <c r="L81" s="63">
        <f t="shared" si="78"/>
        <v>0</v>
      </c>
      <c r="M81" s="15" t="e">
        <f t="shared" si="79"/>
        <v>#DIV/0!</v>
      </c>
      <c r="N81" s="15" t="e">
        <f t="shared" si="80"/>
        <v>#DIV/0!</v>
      </c>
      <c r="O81" s="15" t="e">
        <f t="shared" si="81"/>
        <v>#DIV/0!</v>
      </c>
      <c r="P81" s="15" t="e">
        <f t="shared" si="82"/>
        <v>#DIV/0!</v>
      </c>
      <c r="Q81" s="16" t="e">
        <f t="shared" si="83"/>
        <v>#DIV/0!</v>
      </c>
      <c r="R81" s="16" t="e">
        <f t="shared" si="84"/>
        <v>#DIV/0!</v>
      </c>
      <c r="S81" s="14" t="e">
        <f t="shared" si="85"/>
        <v>#N/A</v>
      </c>
      <c r="T81" s="14" t="e">
        <f t="shared" si="86"/>
        <v>#N/A</v>
      </c>
      <c r="U81" s="22" t="e">
        <f t="shared" si="87"/>
        <v>#DIV/0!</v>
      </c>
      <c r="V81" s="22" t="str">
        <f t="shared" si="88"/>
        <v/>
      </c>
      <c r="W81" s="22" t="str">
        <f t="shared" si="89"/>
        <v/>
      </c>
      <c r="X81" s="22" t="e">
        <f t="shared" si="90"/>
        <v>#DIV/0!</v>
      </c>
      <c r="Y81" s="22" t="str">
        <f t="shared" si="91"/>
        <v/>
      </c>
      <c r="Z81" s="22" t="str">
        <f t="shared" si="92"/>
        <v/>
      </c>
      <c r="AA81" s="2">
        <f t="shared" si="93"/>
        <v>0</v>
      </c>
      <c r="AB81" s="2" t="str">
        <f t="shared" si="94"/>
        <v/>
      </c>
      <c r="AC81" s="2" t="str">
        <f t="shared" si="95"/>
        <v/>
      </c>
      <c r="AD81" s="52" t="str">
        <f t="shared" si="96"/>
        <v/>
      </c>
      <c r="AE81" s="52" t="str">
        <f t="shared" si="97"/>
        <v/>
      </c>
      <c r="AF81" s="52" t="str">
        <f t="shared" si="98"/>
        <v/>
      </c>
      <c r="AG81" s="52" t="str">
        <f t="shared" si="99"/>
        <v/>
      </c>
      <c r="AH81" s="52" t="str">
        <f t="shared" si="100"/>
        <v/>
      </c>
      <c r="AI81" s="52" t="str">
        <f t="shared" si="101"/>
        <v/>
      </c>
      <c r="AJ81" s="56" t="str">
        <f t="shared" si="102"/>
        <v/>
      </c>
      <c r="AK81" s="56" t="str">
        <f t="shared" si="103"/>
        <v/>
      </c>
      <c r="AL81" s="56" t="str">
        <f t="shared" si="104"/>
        <v/>
      </c>
      <c r="AM81" s="56" t="str">
        <f t="shared" si="105"/>
        <v/>
      </c>
      <c r="AX81" s="24"/>
      <c r="BE81" s="25">
        <f t="shared" si="113"/>
        <v>54.999999999999893</v>
      </c>
      <c r="BF81" s="25">
        <f t="shared" si="106"/>
        <v>2.5334179518718591E-5</v>
      </c>
      <c r="BG81" s="25">
        <f t="shared" si="107"/>
        <v>8.0912246230693374E-4</v>
      </c>
    </row>
    <row r="82" spans="12:59">
      <c r="L82" s="63">
        <f t="shared" si="78"/>
        <v>0</v>
      </c>
      <c r="M82" s="15" t="e">
        <f t="shared" si="79"/>
        <v>#DIV/0!</v>
      </c>
      <c r="N82" s="15" t="e">
        <f t="shared" si="80"/>
        <v>#DIV/0!</v>
      </c>
      <c r="O82" s="15" t="e">
        <f t="shared" si="81"/>
        <v>#DIV/0!</v>
      </c>
      <c r="P82" s="15" t="e">
        <f t="shared" si="82"/>
        <v>#DIV/0!</v>
      </c>
      <c r="Q82" s="16" t="e">
        <f t="shared" si="83"/>
        <v>#DIV/0!</v>
      </c>
      <c r="R82" s="16" t="e">
        <f t="shared" si="84"/>
        <v>#DIV/0!</v>
      </c>
      <c r="S82" s="14" t="e">
        <f t="shared" si="85"/>
        <v>#N/A</v>
      </c>
      <c r="T82" s="14" t="e">
        <f t="shared" si="86"/>
        <v>#N/A</v>
      </c>
      <c r="U82" s="22" t="e">
        <f t="shared" si="87"/>
        <v>#DIV/0!</v>
      </c>
      <c r="V82" s="22" t="str">
        <f t="shared" si="88"/>
        <v/>
      </c>
      <c r="W82" s="22" t="str">
        <f t="shared" si="89"/>
        <v/>
      </c>
      <c r="X82" s="22" t="e">
        <f t="shared" si="90"/>
        <v>#DIV/0!</v>
      </c>
      <c r="Y82" s="22" t="str">
        <f t="shared" si="91"/>
        <v/>
      </c>
      <c r="Z82" s="22" t="str">
        <f t="shared" si="92"/>
        <v/>
      </c>
      <c r="AA82" s="2">
        <f t="shared" si="93"/>
        <v>0</v>
      </c>
      <c r="AB82" s="2" t="str">
        <f t="shared" si="94"/>
        <v/>
      </c>
      <c r="AC82" s="2" t="str">
        <f t="shared" si="95"/>
        <v/>
      </c>
      <c r="AD82" s="52" t="str">
        <f t="shared" si="96"/>
        <v/>
      </c>
      <c r="AE82" s="52" t="str">
        <f t="shared" si="97"/>
        <v/>
      </c>
      <c r="AF82" s="52" t="str">
        <f t="shared" si="98"/>
        <v/>
      </c>
      <c r="AG82" s="52" t="str">
        <f t="shared" si="99"/>
        <v/>
      </c>
      <c r="AH82" s="52" t="str">
        <f t="shared" si="100"/>
        <v/>
      </c>
      <c r="AI82" s="52" t="str">
        <f t="shared" si="101"/>
        <v/>
      </c>
      <c r="AJ82" s="56" t="str">
        <f t="shared" si="102"/>
        <v/>
      </c>
      <c r="AK82" s="56" t="str">
        <f t="shared" si="103"/>
        <v/>
      </c>
      <c r="AL82" s="56" t="str">
        <f t="shared" si="104"/>
        <v/>
      </c>
      <c r="AM82" s="56" t="str">
        <f t="shared" si="105"/>
        <v/>
      </c>
      <c r="AX82" s="24"/>
      <c r="BE82" s="25">
        <f t="shared" si="113"/>
        <v>55.399999999999892</v>
      </c>
      <c r="BF82" s="25">
        <f t="shared" si="106"/>
        <v>1.0149495967898453E-5</v>
      </c>
      <c r="BG82" s="25">
        <f t="shared" si="107"/>
        <v>4.134252099327979E-4</v>
      </c>
    </row>
    <row r="83" spans="12:59">
      <c r="L83" s="63">
        <f t="shared" si="78"/>
        <v>0</v>
      </c>
      <c r="M83" s="15" t="e">
        <f t="shared" si="79"/>
        <v>#DIV/0!</v>
      </c>
      <c r="N83" s="15" t="e">
        <f t="shared" si="80"/>
        <v>#DIV/0!</v>
      </c>
      <c r="O83" s="15" t="e">
        <f t="shared" si="81"/>
        <v>#DIV/0!</v>
      </c>
      <c r="P83" s="15" t="e">
        <f t="shared" si="82"/>
        <v>#DIV/0!</v>
      </c>
      <c r="Q83" s="16" t="e">
        <f t="shared" si="83"/>
        <v>#DIV/0!</v>
      </c>
      <c r="R83" s="16" t="e">
        <f t="shared" si="84"/>
        <v>#DIV/0!</v>
      </c>
      <c r="S83" s="14" t="e">
        <f t="shared" si="85"/>
        <v>#N/A</v>
      </c>
      <c r="T83" s="14" t="e">
        <f t="shared" si="86"/>
        <v>#N/A</v>
      </c>
      <c r="U83" s="22" t="e">
        <f t="shared" si="87"/>
        <v>#DIV/0!</v>
      </c>
      <c r="V83" s="22" t="str">
        <f t="shared" si="88"/>
        <v/>
      </c>
      <c r="W83" s="22" t="str">
        <f t="shared" si="89"/>
        <v/>
      </c>
      <c r="X83" s="22" t="e">
        <f t="shared" si="90"/>
        <v>#DIV/0!</v>
      </c>
      <c r="Y83" s="22" t="str">
        <f t="shared" si="91"/>
        <v/>
      </c>
      <c r="Z83" s="22" t="str">
        <f t="shared" si="92"/>
        <v/>
      </c>
      <c r="AA83" s="2">
        <f t="shared" si="93"/>
        <v>0</v>
      </c>
      <c r="AB83" s="2" t="str">
        <f t="shared" si="94"/>
        <v/>
      </c>
      <c r="AC83" s="2" t="str">
        <f t="shared" si="95"/>
        <v/>
      </c>
      <c r="AD83" s="52" t="str">
        <f t="shared" si="96"/>
        <v/>
      </c>
      <c r="AE83" s="52" t="str">
        <f t="shared" si="97"/>
        <v/>
      </c>
      <c r="AF83" s="52" t="str">
        <f t="shared" si="98"/>
        <v/>
      </c>
      <c r="AG83" s="52" t="str">
        <f t="shared" si="99"/>
        <v/>
      </c>
      <c r="AH83" s="52" t="str">
        <f t="shared" si="100"/>
        <v/>
      </c>
      <c r="AI83" s="52" t="str">
        <f t="shared" si="101"/>
        <v/>
      </c>
      <c r="AJ83" s="56" t="str">
        <f t="shared" si="102"/>
        <v/>
      </c>
      <c r="AK83" s="56" t="str">
        <f t="shared" si="103"/>
        <v/>
      </c>
      <c r="AL83" s="56" t="str">
        <f t="shared" si="104"/>
        <v/>
      </c>
      <c r="AM83" s="56" t="str">
        <f t="shared" si="105"/>
        <v/>
      </c>
      <c r="AX83" s="24"/>
      <c r="BE83" s="25">
        <f t="shared" si="113"/>
        <v>55.799999999999891</v>
      </c>
      <c r="BF83" s="25">
        <f t="shared" si="106"/>
        <v>3.9400027816915908E-6</v>
      </c>
      <c r="BG83" s="25">
        <f t="shared" si="107"/>
        <v>2.0644247761164063E-4</v>
      </c>
    </row>
    <row r="84" spans="12:59">
      <c r="L84" s="63">
        <f t="shared" si="78"/>
        <v>0</v>
      </c>
      <c r="M84" s="15" t="e">
        <f t="shared" si="79"/>
        <v>#DIV/0!</v>
      </c>
      <c r="N84" s="15" t="e">
        <f t="shared" si="80"/>
        <v>#DIV/0!</v>
      </c>
      <c r="O84" s="15" t="e">
        <f t="shared" si="81"/>
        <v>#DIV/0!</v>
      </c>
      <c r="P84" s="15" t="e">
        <f t="shared" si="82"/>
        <v>#DIV/0!</v>
      </c>
      <c r="Q84" s="16" t="e">
        <f t="shared" si="83"/>
        <v>#DIV/0!</v>
      </c>
      <c r="R84" s="16" t="e">
        <f t="shared" si="84"/>
        <v>#DIV/0!</v>
      </c>
      <c r="S84" s="14" t="e">
        <f t="shared" si="85"/>
        <v>#N/A</v>
      </c>
      <c r="T84" s="14" t="e">
        <f t="shared" si="86"/>
        <v>#N/A</v>
      </c>
      <c r="U84" s="22" t="e">
        <f t="shared" si="87"/>
        <v>#DIV/0!</v>
      </c>
      <c r="V84" s="22" t="str">
        <f t="shared" si="88"/>
        <v/>
      </c>
      <c r="W84" s="22" t="str">
        <f t="shared" si="89"/>
        <v/>
      </c>
      <c r="X84" s="22" t="e">
        <f t="shared" si="90"/>
        <v>#DIV/0!</v>
      </c>
      <c r="Y84" s="22" t="str">
        <f t="shared" si="91"/>
        <v/>
      </c>
      <c r="Z84" s="22" t="str">
        <f t="shared" si="92"/>
        <v/>
      </c>
      <c r="AA84" s="2">
        <f t="shared" si="93"/>
        <v>0</v>
      </c>
      <c r="AB84" s="2" t="str">
        <f t="shared" si="94"/>
        <v/>
      </c>
      <c r="AC84" s="2" t="str">
        <f t="shared" si="95"/>
        <v/>
      </c>
      <c r="AD84" s="52" t="str">
        <f t="shared" si="96"/>
        <v/>
      </c>
      <c r="AE84" s="52" t="str">
        <f t="shared" si="97"/>
        <v/>
      </c>
      <c r="AF84" s="52" t="str">
        <f t="shared" si="98"/>
        <v/>
      </c>
      <c r="AG84" s="52" t="str">
        <f t="shared" si="99"/>
        <v/>
      </c>
      <c r="AH84" s="52" t="str">
        <f t="shared" si="100"/>
        <v/>
      </c>
      <c r="AI84" s="52" t="str">
        <f t="shared" si="101"/>
        <v/>
      </c>
      <c r="AJ84" s="56" t="str">
        <f t="shared" si="102"/>
        <v/>
      </c>
      <c r="AK84" s="56" t="str">
        <f t="shared" si="103"/>
        <v/>
      </c>
      <c r="AL84" s="56" t="str">
        <f t="shared" si="104"/>
        <v/>
      </c>
      <c r="AM84" s="56" t="str">
        <f t="shared" si="105"/>
        <v/>
      </c>
      <c r="AX84" s="24"/>
      <c r="BE84" s="25">
        <f t="shared" si="113"/>
        <v>56.199999999999889</v>
      </c>
      <c r="BF84" s="25">
        <f t="shared" si="106"/>
        <v>1.4820505021597756E-6</v>
      </c>
      <c r="BG84" s="25">
        <f t="shared" si="107"/>
        <v>1.0074432210763239E-4</v>
      </c>
    </row>
    <row r="85" spans="12:59">
      <c r="L85" s="63">
        <f t="shared" si="78"/>
        <v>0</v>
      </c>
      <c r="M85" s="15" t="e">
        <f t="shared" si="79"/>
        <v>#DIV/0!</v>
      </c>
      <c r="N85" s="15" t="e">
        <f t="shared" si="80"/>
        <v>#DIV/0!</v>
      </c>
      <c r="O85" s="15" t="e">
        <f t="shared" si="81"/>
        <v>#DIV/0!</v>
      </c>
      <c r="P85" s="15" t="e">
        <f t="shared" si="82"/>
        <v>#DIV/0!</v>
      </c>
      <c r="Q85" s="16" t="e">
        <f t="shared" si="83"/>
        <v>#DIV/0!</v>
      </c>
      <c r="R85" s="16" t="e">
        <f t="shared" si="84"/>
        <v>#DIV/0!</v>
      </c>
      <c r="S85" s="14" t="e">
        <f t="shared" si="85"/>
        <v>#N/A</v>
      </c>
      <c r="T85" s="14" t="e">
        <f t="shared" si="86"/>
        <v>#N/A</v>
      </c>
      <c r="U85" s="22" t="e">
        <f t="shared" si="87"/>
        <v>#DIV/0!</v>
      </c>
      <c r="V85" s="22" t="str">
        <f t="shared" si="88"/>
        <v/>
      </c>
      <c r="W85" s="22" t="str">
        <f t="shared" si="89"/>
        <v/>
      </c>
      <c r="X85" s="22" t="e">
        <f t="shared" si="90"/>
        <v>#DIV/0!</v>
      </c>
      <c r="Y85" s="22" t="str">
        <f t="shared" si="91"/>
        <v/>
      </c>
      <c r="Z85" s="22" t="str">
        <f t="shared" si="92"/>
        <v/>
      </c>
      <c r="AA85" s="2">
        <f t="shared" si="93"/>
        <v>0</v>
      </c>
      <c r="AB85" s="2" t="str">
        <f t="shared" si="94"/>
        <v/>
      </c>
      <c r="AC85" s="2" t="str">
        <f t="shared" si="95"/>
        <v/>
      </c>
      <c r="AD85" s="52" t="str">
        <f t="shared" si="96"/>
        <v/>
      </c>
      <c r="AE85" s="52" t="str">
        <f t="shared" si="97"/>
        <v/>
      </c>
      <c r="AF85" s="52" t="str">
        <f t="shared" si="98"/>
        <v/>
      </c>
      <c r="AG85" s="52" t="str">
        <f t="shared" si="99"/>
        <v/>
      </c>
      <c r="AH85" s="52" t="str">
        <f t="shared" si="100"/>
        <v/>
      </c>
      <c r="AI85" s="52" t="str">
        <f t="shared" si="101"/>
        <v/>
      </c>
      <c r="AJ85" s="56" t="str">
        <f t="shared" si="102"/>
        <v/>
      </c>
      <c r="AK85" s="56" t="str">
        <f t="shared" si="103"/>
        <v/>
      </c>
      <c r="AL85" s="56" t="str">
        <f t="shared" si="104"/>
        <v/>
      </c>
      <c r="AM85" s="56" t="str">
        <f t="shared" si="105"/>
        <v/>
      </c>
      <c r="AX85" s="24"/>
    </row>
    <row r="86" spans="12:59">
      <c r="L86" s="63">
        <f t="shared" si="78"/>
        <v>0</v>
      </c>
      <c r="M86" s="15" t="e">
        <f t="shared" si="79"/>
        <v>#DIV/0!</v>
      </c>
      <c r="N86" s="15" t="e">
        <f t="shared" si="80"/>
        <v>#DIV/0!</v>
      </c>
      <c r="O86" s="15" t="e">
        <f t="shared" si="81"/>
        <v>#DIV/0!</v>
      </c>
      <c r="P86" s="15" t="e">
        <f t="shared" si="82"/>
        <v>#DIV/0!</v>
      </c>
      <c r="Q86" s="16" t="e">
        <f t="shared" si="83"/>
        <v>#DIV/0!</v>
      </c>
      <c r="R86" s="16" t="e">
        <f t="shared" si="84"/>
        <v>#DIV/0!</v>
      </c>
      <c r="S86" s="14" t="e">
        <f t="shared" si="85"/>
        <v>#N/A</v>
      </c>
      <c r="T86" s="14" t="e">
        <f t="shared" si="86"/>
        <v>#N/A</v>
      </c>
      <c r="U86" s="22" t="e">
        <f t="shared" si="87"/>
        <v>#DIV/0!</v>
      </c>
      <c r="V86" s="22" t="str">
        <f t="shared" si="88"/>
        <v/>
      </c>
      <c r="W86" s="22" t="str">
        <f t="shared" si="89"/>
        <v/>
      </c>
      <c r="X86" s="22" t="e">
        <f t="shared" si="90"/>
        <v>#DIV/0!</v>
      </c>
      <c r="Y86" s="22" t="str">
        <f t="shared" si="91"/>
        <v/>
      </c>
      <c r="Z86" s="22" t="str">
        <f t="shared" si="92"/>
        <v/>
      </c>
      <c r="AA86" s="2">
        <f t="shared" si="93"/>
        <v>0</v>
      </c>
      <c r="AB86" s="2" t="str">
        <f t="shared" si="94"/>
        <v/>
      </c>
      <c r="AC86" s="2" t="str">
        <f t="shared" si="95"/>
        <v/>
      </c>
      <c r="AD86" s="52" t="str">
        <f t="shared" si="96"/>
        <v/>
      </c>
      <c r="AE86" s="52" t="str">
        <f t="shared" si="97"/>
        <v/>
      </c>
      <c r="AF86" s="52" t="str">
        <f t="shared" si="98"/>
        <v/>
      </c>
      <c r="AG86" s="52" t="str">
        <f t="shared" si="99"/>
        <v/>
      </c>
      <c r="AH86" s="52" t="str">
        <f t="shared" si="100"/>
        <v/>
      </c>
      <c r="AI86" s="52" t="str">
        <f t="shared" si="101"/>
        <v/>
      </c>
      <c r="AJ86" s="56" t="str">
        <f t="shared" si="102"/>
        <v/>
      </c>
      <c r="AK86" s="56" t="str">
        <f t="shared" si="103"/>
        <v/>
      </c>
      <c r="AL86" s="56" t="str">
        <f t="shared" si="104"/>
        <v/>
      </c>
      <c r="AM86" s="56" t="str">
        <f t="shared" si="105"/>
        <v/>
      </c>
      <c r="AX86" s="24"/>
    </row>
    <row r="87" spans="12:59">
      <c r="L87" s="63">
        <f t="shared" si="78"/>
        <v>0</v>
      </c>
      <c r="M87" s="15" t="e">
        <f t="shared" si="79"/>
        <v>#DIV/0!</v>
      </c>
      <c r="N87" s="15" t="e">
        <f t="shared" si="80"/>
        <v>#DIV/0!</v>
      </c>
      <c r="O87" s="15" t="e">
        <f t="shared" si="81"/>
        <v>#DIV/0!</v>
      </c>
      <c r="P87" s="15" t="e">
        <f t="shared" si="82"/>
        <v>#DIV/0!</v>
      </c>
      <c r="Q87" s="16" t="e">
        <f t="shared" si="83"/>
        <v>#DIV/0!</v>
      </c>
      <c r="R87" s="16" t="e">
        <f t="shared" si="84"/>
        <v>#DIV/0!</v>
      </c>
      <c r="S87" s="14" t="e">
        <f t="shared" si="85"/>
        <v>#N/A</v>
      </c>
      <c r="T87" s="14" t="e">
        <f t="shared" si="86"/>
        <v>#N/A</v>
      </c>
      <c r="U87" s="22" t="e">
        <f t="shared" si="87"/>
        <v>#DIV/0!</v>
      </c>
      <c r="V87" s="22" t="str">
        <f t="shared" si="88"/>
        <v/>
      </c>
      <c r="W87" s="22" t="str">
        <f t="shared" si="89"/>
        <v/>
      </c>
      <c r="X87" s="22" t="e">
        <f t="shared" si="90"/>
        <v>#DIV/0!</v>
      </c>
      <c r="Y87" s="22" t="str">
        <f t="shared" si="91"/>
        <v/>
      </c>
      <c r="Z87" s="22" t="str">
        <f t="shared" si="92"/>
        <v/>
      </c>
      <c r="AA87" s="2">
        <f t="shared" si="93"/>
        <v>0</v>
      </c>
      <c r="AB87" s="2" t="str">
        <f t="shared" si="94"/>
        <v/>
      </c>
      <c r="AC87" s="2" t="str">
        <f t="shared" si="95"/>
        <v/>
      </c>
      <c r="AD87" s="52" t="str">
        <f t="shared" si="96"/>
        <v/>
      </c>
      <c r="AE87" s="52" t="str">
        <f t="shared" si="97"/>
        <v/>
      </c>
      <c r="AF87" s="52" t="str">
        <f t="shared" si="98"/>
        <v/>
      </c>
      <c r="AG87" s="52" t="str">
        <f t="shared" si="99"/>
        <v/>
      </c>
      <c r="AH87" s="52" t="str">
        <f t="shared" si="100"/>
        <v/>
      </c>
      <c r="AI87" s="52" t="str">
        <f t="shared" si="101"/>
        <v/>
      </c>
      <c r="AJ87" s="56" t="str">
        <f t="shared" si="102"/>
        <v/>
      </c>
      <c r="AK87" s="56" t="str">
        <f t="shared" si="103"/>
        <v/>
      </c>
      <c r="AL87" s="56" t="str">
        <f t="shared" si="104"/>
        <v/>
      </c>
      <c r="AM87" s="56" t="str">
        <f t="shared" si="105"/>
        <v/>
      </c>
      <c r="AX87" s="24"/>
    </row>
    <row r="88" spans="12:59">
      <c r="L88" s="63">
        <f t="shared" si="78"/>
        <v>0</v>
      </c>
      <c r="M88" s="15" t="e">
        <f t="shared" si="79"/>
        <v>#DIV/0!</v>
      </c>
      <c r="N88" s="15" t="e">
        <f t="shared" si="80"/>
        <v>#DIV/0!</v>
      </c>
      <c r="O88" s="15" t="e">
        <f t="shared" si="81"/>
        <v>#DIV/0!</v>
      </c>
      <c r="P88" s="15" t="e">
        <f t="shared" si="82"/>
        <v>#DIV/0!</v>
      </c>
      <c r="Q88" s="16" t="e">
        <f t="shared" si="83"/>
        <v>#DIV/0!</v>
      </c>
      <c r="R88" s="16" t="e">
        <f t="shared" si="84"/>
        <v>#DIV/0!</v>
      </c>
      <c r="S88" s="14" t="e">
        <f t="shared" si="85"/>
        <v>#N/A</v>
      </c>
      <c r="T88" s="14" t="e">
        <f t="shared" si="86"/>
        <v>#N/A</v>
      </c>
      <c r="U88" s="22" t="e">
        <f t="shared" si="87"/>
        <v>#DIV/0!</v>
      </c>
      <c r="V88" s="22" t="str">
        <f t="shared" si="88"/>
        <v/>
      </c>
      <c r="W88" s="22" t="str">
        <f t="shared" si="89"/>
        <v/>
      </c>
      <c r="X88" s="22" t="e">
        <f t="shared" si="90"/>
        <v>#DIV/0!</v>
      </c>
      <c r="Y88" s="22" t="str">
        <f t="shared" si="91"/>
        <v/>
      </c>
      <c r="Z88" s="22" t="str">
        <f t="shared" si="92"/>
        <v/>
      </c>
      <c r="AA88" s="2">
        <f t="shared" si="93"/>
        <v>0</v>
      </c>
      <c r="AB88" s="2" t="str">
        <f t="shared" si="94"/>
        <v/>
      </c>
      <c r="AC88" s="2" t="str">
        <f t="shared" si="95"/>
        <v/>
      </c>
      <c r="AD88" s="52" t="str">
        <f t="shared" si="96"/>
        <v/>
      </c>
      <c r="AE88" s="52" t="str">
        <f t="shared" si="97"/>
        <v/>
      </c>
      <c r="AF88" s="52" t="str">
        <f t="shared" si="98"/>
        <v/>
      </c>
      <c r="AG88" s="52" t="str">
        <f t="shared" si="99"/>
        <v/>
      </c>
      <c r="AH88" s="52" t="str">
        <f t="shared" si="100"/>
        <v/>
      </c>
      <c r="AI88" s="52" t="str">
        <f t="shared" si="101"/>
        <v/>
      </c>
      <c r="AJ88" s="56" t="str">
        <f t="shared" si="102"/>
        <v/>
      </c>
      <c r="AK88" s="56" t="str">
        <f t="shared" si="103"/>
        <v/>
      </c>
      <c r="AL88" s="56" t="str">
        <f t="shared" si="104"/>
        <v/>
      </c>
      <c r="AM88" s="56" t="str">
        <f t="shared" si="105"/>
        <v/>
      </c>
      <c r="AX88" s="24"/>
    </row>
    <row r="89" spans="12:59">
      <c r="L89" s="63">
        <f t="shared" si="78"/>
        <v>0</v>
      </c>
      <c r="M89" s="15" t="e">
        <f t="shared" si="79"/>
        <v>#DIV/0!</v>
      </c>
      <c r="N89" s="15" t="e">
        <f t="shared" si="80"/>
        <v>#DIV/0!</v>
      </c>
      <c r="O89" s="15" t="e">
        <f t="shared" si="81"/>
        <v>#DIV/0!</v>
      </c>
      <c r="P89" s="15" t="e">
        <f t="shared" si="82"/>
        <v>#DIV/0!</v>
      </c>
      <c r="Q89" s="16" t="e">
        <f t="shared" si="83"/>
        <v>#DIV/0!</v>
      </c>
      <c r="R89" s="16" t="e">
        <f t="shared" si="84"/>
        <v>#DIV/0!</v>
      </c>
      <c r="S89" s="14" t="e">
        <f t="shared" si="85"/>
        <v>#N/A</v>
      </c>
      <c r="T89" s="14" t="e">
        <f t="shared" si="86"/>
        <v>#N/A</v>
      </c>
      <c r="U89" s="22" t="e">
        <f t="shared" si="87"/>
        <v>#DIV/0!</v>
      </c>
      <c r="V89" s="22" t="str">
        <f t="shared" si="88"/>
        <v/>
      </c>
      <c r="W89" s="22" t="str">
        <f t="shared" si="89"/>
        <v/>
      </c>
      <c r="X89" s="22" t="e">
        <f t="shared" si="90"/>
        <v>#DIV/0!</v>
      </c>
      <c r="Y89" s="22" t="str">
        <f t="shared" si="91"/>
        <v/>
      </c>
      <c r="Z89" s="22" t="str">
        <f t="shared" si="92"/>
        <v/>
      </c>
      <c r="AA89" s="2">
        <f t="shared" si="93"/>
        <v>0</v>
      </c>
      <c r="AB89" s="2" t="str">
        <f t="shared" si="94"/>
        <v/>
      </c>
      <c r="AC89" s="2" t="str">
        <f t="shared" si="95"/>
        <v/>
      </c>
      <c r="AD89" s="52" t="str">
        <f t="shared" si="96"/>
        <v/>
      </c>
      <c r="AE89" s="52" t="str">
        <f t="shared" si="97"/>
        <v/>
      </c>
      <c r="AF89" s="52" t="str">
        <f t="shared" si="98"/>
        <v/>
      </c>
      <c r="AG89" s="52" t="str">
        <f t="shared" si="99"/>
        <v/>
      </c>
      <c r="AH89" s="52" t="str">
        <f t="shared" si="100"/>
        <v/>
      </c>
      <c r="AI89" s="52" t="str">
        <f t="shared" si="101"/>
        <v/>
      </c>
      <c r="AJ89" s="56" t="str">
        <f t="shared" si="102"/>
        <v/>
      </c>
      <c r="AK89" s="56" t="str">
        <f t="shared" si="103"/>
        <v/>
      </c>
      <c r="AL89" s="56" t="str">
        <f t="shared" si="104"/>
        <v/>
      </c>
      <c r="AM89" s="56" t="str">
        <f t="shared" si="105"/>
        <v/>
      </c>
      <c r="AX89" s="24"/>
    </row>
    <row r="90" spans="12:59">
      <c r="L90" s="63">
        <f t="shared" si="78"/>
        <v>0</v>
      </c>
      <c r="M90" s="15" t="e">
        <f t="shared" si="79"/>
        <v>#DIV/0!</v>
      </c>
      <c r="N90" s="15" t="e">
        <f t="shared" si="80"/>
        <v>#DIV/0!</v>
      </c>
      <c r="O90" s="15" t="e">
        <f t="shared" si="81"/>
        <v>#DIV/0!</v>
      </c>
      <c r="P90" s="15" t="e">
        <f t="shared" si="82"/>
        <v>#DIV/0!</v>
      </c>
      <c r="Q90" s="16" t="e">
        <f t="shared" si="83"/>
        <v>#DIV/0!</v>
      </c>
      <c r="R90" s="16" t="e">
        <f t="shared" si="84"/>
        <v>#DIV/0!</v>
      </c>
      <c r="S90" s="14" t="e">
        <f t="shared" si="85"/>
        <v>#N/A</v>
      </c>
      <c r="T90" s="14" t="e">
        <f t="shared" si="86"/>
        <v>#N/A</v>
      </c>
      <c r="U90" s="22" t="e">
        <f t="shared" si="87"/>
        <v>#DIV/0!</v>
      </c>
      <c r="V90" s="22" t="str">
        <f t="shared" si="88"/>
        <v/>
      </c>
      <c r="W90" s="22" t="str">
        <f t="shared" si="89"/>
        <v/>
      </c>
      <c r="X90" s="22" t="e">
        <f t="shared" si="90"/>
        <v>#DIV/0!</v>
      </c>
      <c r="Y90" s="22" t="str">
        <f t="shared" si="91"/>
        <v/>
      </c>
      <c r="Z90" s="22" t="str">
        <f t="shared" si="92"/>
        <v/>
      </c>
      <c r="AA90" s="2">
        <f t="shared" si="93"/>
        <v>0</v>
      </c>
      <c r="AB90" s="2" t="str">
        <f t="shared" si="94"/>
        <v/>
      </c>
      <c r="AC90" s="2" t="str">
        <f t="shared" si="95"/>
        <v/>
      </c>
      <c r="AD90" s="52" t="str">
        <f t="shared" si="96"/>
        <v/>
      </c>
      <c r="AE90" s="52" t="str">
        <f t="shared" si="97"/>
        <v/>
      </c>
      <c r="AF90" s="52" t="str">
        <f t="shared" si="98"/>
        <v/>
      </c>
      <c r="AG90" s="52" t="str">
        <f t="shared" si="99"/>
        <v/>
      </c>
      <c r="AH90" s="52" t="str">
        <f t="shared" si="100"/>
        <v/>
      </c>
      <c r="AI90" s="52" t="str">
        <f t="shared" si="101"/>
        <v/>
      </c>
      <c r="AJ90" s="56" t="str">
        <f t="shared" si="102"/>
        <v/>
      </c>
      <c r="AK90" s="56" t="str">
        <f t="shared" si="103"/>
        <v/>
      </c>
      <c r="AL90" s="56" t="str">
        <f t="shared" si="104"/>
        <v/>
      </c>
      <c r="AM90" s="56" t="str">
        <f t="shared" si="105"/>
        <v/>
      </c>
      <c r="AX90" s="24"/>
    </row>
    <row r="91" spans="12:59">
      <c r="L91" s="63">
        <f t="shared" si="78"/>
        <v>0</v>
      </c>
      <c r="M91" s="15" t="e">
        <f t="shared" si="79"/>
        <v>#DIV/0!</v>
      </c>
      <c r="N91" s="15" t="e">
        <f t="shared" si="80"/>
        <v>#DIV/0!</v>
      </c>
      <c r="O91" s="15" t="e">
        <f t="shared" si="81"/>
        <v>#DIV/0!</v>
      </c>
      <c r="P91" s="15" t="e">
        <f t="shared" si="82"/>
        <v>#DIV/0!</v>
      </c>
      <c r="Q91" s="16" t="e">
        <f t="shared" si="83"/>
        <v>#DIV/0!</v>
      </c>
      <c r="R91" s="16" t="e">
        <f t="shared" si="84"/>
        <v>#DIV/0!</v>
      </c>
      <c r="S91" s="14" t="e">
        <f t="shared" si="85"/>
        <v>#N/A</v>
      </c>
      <c r="T91" s="14" t="e">
        <f t="shared" si="86"/>
        <v>#N/A</v>
      </c>
      <c r="U91" s="22" t="e">
        <f t="shared" si="87"/>
        <v>#DIV/0!</v>
      </c>
      <c r="V91" s="22" t="str">
        <f t="shared" si="88"/>
        <v/>
      </c>
      <c r="W91" s="22" t="str">
        <f t="shared" si="89"/>
        <v/>
      </c>
      <c r="X91" s="22" t="e">
        <f t="shared" si="90"/>
        <v>#DIV/0!</v>
      </c>
      <c r="Y91" s="22" t="str">
        <f t="shared" si="91"/>
        <v/>
      </c>
      <c r="Z91" s="22" t="str">
        <f t="shared" si="92"/>
        <v/>
      </c>
      <c r="AA91" s="2">
        <f t="shared" si="93"/>
        <v>0</v>
      </c>
      <c r="AB91" s="2" t="str">
        <f t="shared" si="94"/>
        <v/>
      </c>
      <c r="AC91" s="2" t="str">
        <f t="shared" si="95"/>
        <v/>
      </c>
      <c r="AD91" s="52" t="str">
        <f t="shared" si="96"/>
        <v/>
      </c>
      <c r="AE91" s="52" t="str">
        <f t="shared" si="97"/>
        <v/>
      </c>
      <c r="AF91" s="52" t="str">
        <f t="shared" si="98"/>
        <v/>
      </c>
      <c r="AG91" s="52" t="str">
        <f t="shared" si="99"/>
        <v/>
      </c>
      <c r="AH91" s="52" t="str">
        <f t="shared" si="100"/>
        <v/>
      </c>
      <c r="AI91" s="52" t="str">
        <f t="shared" si="101"/>
        <v/>
      </c>
      <c r="AJ91" s="56" t="str">
        <f t="shared" si="102"/>
        <v/>
      </c>
      <c r="AK91" s="56" t="str">
        <f t="shared" si="103"/>
        <v/>
      </c>
      <c r="AL91" s="56" t="str">
        <f t="shared" si="104"/>
        <v/>
      </c>
      <c r="AM91" s="56" t="str">
        <f t="shared" si="105"/>
        <v/>
      </c>
      <c r="AX91" s="24"/>
    </row>
    <row r="92" spans="12:59">
      <c r="L92" s="63">
        <f t="shared" si="78"/>
        <v>0</v>
      </c>
      <c r="M92" s="15" t="e">
        <f t="shared" si="79"/>
        <v>#DIV/0!</v>
      </c>
      <c r="N92" s="15" t="e">
        <f t="shared" si="80"/>
        <v>#DIV/0!</v>
      </c>
      <c r="O92" s="15" t="e">
        <f t="shared" si="81"/>
        <v>#DIV/0!</v>
      </c>
      <c r="P92" s="15" t="e">
        <f t="shared" si="82"/>
        <v>#DIV/0!</v>
      </c>
      <c r="Q92" s="16" t="e">
        <f t="shared" si="83"/>
        <v>#DIV/0!</v>
      </c>
      <c r="R92" s="16" t="e">
        <f t="shared" si="84"/>
        <v>#DIV/0!</v>
      </c>
      <c r="S92" s="14" t="e">
        <f t="shared" si="85"/>
        <v>#N/A</v>
      </c>
      <c r="T92" s="14" t="e">
        <f t="shared" si="86"/>
        <v>#N/A</v>
      </c>
      <c r="U92" s="22" t="e">
        <f t="shared" si="87"/>
        <v>#DIV/0!</v>
      </c>
      <c r="V92" s="22" t="str">
        <f t="shared" si="88"/>
        <v/>
      </c>
      <c r="W92" s="22" t="str">
        <f t="shared" si="89"/>
        <v/>
      </c>
      <c r="X92" s="22" t="e">
        <f t="shared" si="90"/>
        <v>#DIV/0!</v>
      </c>
      <c r="Y92" s="22" t="str">
        <f t="shared" si="91"/>
        <v/>
      </c>
      <c r="Z92" s="22" t="str">
        <f t="shared" si="92"/>
        <v/>
      </c>
      <c r="AA92" s="2">
        <f t="shared" si="93"/>
        <v>0</v>
      </c>
      <c r="AB92" s="2" t="str">
        <f t="shared" si="94"/>
        <v/>
      </c>
      <c r="AC92" s="2" t="str">
        <f t="shared" si="95"/>
        <v/>
      </c>
      <c r="AD92" s="52" t="str">
        <f t="shared" si="96"/>
        <v/>
      </c>
      <c r="AE92" s="52" t="str">
        <f t="shared" si="97"/>
        <v/>
      </c>
      <c r="AF92" s="52" t="str">
        <f t="shared" si="98"/>
        <v/>
      </c>
      <c r="AG92" s="52" t="str">
        <f t="shared" si="99"/>
        <v/>
      </c>
      <c r="AH92" s="52" t="str">
        <f t="shared" si="100"/>
        <v/>
      </c>
      <c r="AI92" s="52" t="str">
        <f t="shared" si="101"/>
        <v/>
      </c>
      <c r="AJ92" s="56" t="str">
        <f t="shared" si="102"/>
        <v/>
      </c>
      <c r="AK92" s="56" t="str">
        <f t="shared" si="103"/>
        <v/>
      </c>
      <c r="AL92" s="56" t="str">
        <f t="shared" si="104"/>
        <v/>
      </c>
      <c r="AM92" s="56" t="str">
        <f t="shared" si="105"/>
        <v/>
      </c>
      <c r="AX92" s="24"/>
    </row>
    <row r="93" spans="12:59">
      <c r="L93" s="63">
        <f t="shared" si="78"/>
        <v>0</v>
      </c>
      <c r="M93" s="15" t="e">
        <f t="shared" si="79"/>
        <v>#DIV/0!</v>
      </c>
      <c r="N93" s="15" t="e">
        <f t="shared" si="80"/>
        <v>#DIV/0!</v>
      </c>
      <c r="O93" s="15" t="e">
        <f t="shared" si="81"/>
        <v>#DIV/0!</v>
      </c>
      <c r="P93" s="15" t="e">
        <f t="shared" si="82"/>
        <v>#DIV/0!</v>
      </c>
      <c r="Q93" s="16" t="e">
        <f t="shared" si="83"/>
        <v>#DIV/0!</v>
      </c>
      <c r="R93" s="16" t="e">
        <f t="shared" si="84"/>
        <v>#DIV/0!</v>
      </c>
      <c r="S93" s="14" t="e">
        <f t="shared" si="85"/>
        <v>#N/A</v>
      </c>
      <c r="T93" s="14" t="e">
        <f t="shared" si="86"/>
        <v>#N/A</v>
      </c>
      <c r="U93" s="22" t="e">
        <f t="shared" si="87"/>
        <v>#DIV/0!</v>
      </c>
      <c r="V93" s="22" t="str">
        <f t="shared" si="88"/>
        <v/>
      </c>
      <c r="W93" s="22" t="str">
        <f t="shared" si="89"/>
        <v/>
      </c>
      <c r="X93" s="22" t="e">
        <f t="shared" si="90"/>
        <v>#DIV/0!</v>
      </c>
      <c r="Y93" s="22" t="str">
        <f t="shared" si="91"/>
        <v/>
      </c>
      <c r="Z93" s="22" t="str">
        <f t="shared" si="92"/>
        <v/>
      </c>
      <c r="AA93" s="2">
        <f t="shared" si="93"/>
        <v>0</v>
      </c>
      <c r="AB93" s="2" t="str">
        <f t="shared" si="94"/>
        <v/>
      </c>
      <c r="AC93" s="2" t="str">
        <f t="shared" si="95"/>
        <v/>
      </c>
      <c r="AD93" s="52" t="str">
        <f t="shared" si="96"/>
        <v/>
      </c>
      <c r="AE93" s="52" t="str">
        <f t="shared" si="97"/>
        <v/>
      </c>
      <c r="AF93" s="52" t="str">
        <f t="shared" si="98"/>
        <v/>
      </c>
      <c r="AG93" s="52" t="str">
        <f t="shared" si="99"/>
        <v/>
      </c>
      <c r="AH93" s="52" t="str">
        <f t="shared" si="100"/>
        <v/>
      </c>
      <c r="AI93" s="52" t="str">
        <f t="shared" si="101"/>
        <v/>
      </c>
      <c r="AJ93" s="56" t="str">
        <f t="shared" si="102"/>
        <v/>
      </c>
      <c r="AK93" s="56" t="str">
        <f t="shared" si="103"/>
        <v/>
      </c>
      <c r="AL93" s="56" t="str">
        <f t="shared" si="104"/>
        <v/>
      </c>
      <c r="AM93" s="56" t="str">
        <f t="shared" si="105"/>
        <v/>
      </c>
      <c r="AX93" s="24"/>
    </row>
    <row r="94" spans="12:59">
      <c r="L94" s="63">
        <f t="shared" si="78"/>
        <v>0</v>
      </c>
      <c r="M94" s="15" t="e">
        <f t="shared" si="79"/>
        <v>#DIV/0!</v>
      </c>
      <c r="N94" s="15" t="e">
        <f t="shared" si="80"/>
        <v>#DIV/0!</v>
      </c>
      <c r="O94" s="15" t="e">
        <f t="shared" si="81"/>
        <v>#DIV/0!</v>
      </c>
      <c r="P94" s="15" t="e">
        <f t="shared" si="82"/>
        <v>#DIV/0!</v>
      </c>
      <c r="Q94" s="16" t="e">
        <f t="shared" si="83"/>
        <v>#DIV/0!</v>
      </c>
      <c r="R94" s="16" t="e">
        <f t="shared" si="84"/>
        <v>#DIV/0!</v>
      </c>
      <c r="S94" s="14" t="e">
        <f t="shared" si="85"/>
        <v>#N/A</v>
      </c>
      <c r="T94" s="14" t="e">
        <f t="shared" si="86"/>
        <v>#N/A</v>
      </c>
      <c r="U94" s="22" t="e">
        <f t="shared" si="87"/>
        <v>#DIV/0!</v>
      </c>
      <c r="V94" s="22" t="str">
        <f t="shared" si="88"/>
        <v/>
      </c>
      <c r="W94" s="22" t="str">
        <f t="shared" si="89"/>
        <v/>
      </c>
      <c r="X94" s="22" t="e">
        <f t="shared" si="90"/>
        <v>#DIV/0!</v>
      </c>
      <c r="Y94" s="22" t="str">
        <f t="shared" si="91"/>
        <v/>
      </c>
      <c r="Z94" s="22" t="str">
        <f t="shared" si="92"/>
        <v/>
      </c>
      <c r="AA94" s="2">
        <f t="shared" si="93"/>
        <v>0</v>
      </c>
      <c r="AB94" s="2" t="str">
        <f t="shared" si="94"/>
        <v/>
      </c>
      <c r="AC94" s="2" t="str">
        <f t="shared" si="95"/>
        <v/>
      </c>
      <c r="AD94" s="52" t="str">
        <f t="shared" si="96"/>
        <v/>
      </c>
      <c r="AE94" s="52" t="str">
        <f t="shared" si="97"/>
        <v/>
      </c>
      <c r="AF94" s="52" t="str">
        <f t="shared" si="98"/>
        <v/>
      </c>
      <c r="AG94" s="52" t="str">
        <f t="shared" si="99"/>
        <v/>
      </c>
      <c r="AH94" s="52" t="str">
        <f t="shared" si="100"/>
        <v/>
      </c>
      <c r="AI94" s="52" t="str">
        <f t="shared" si="101"/>
        <v/>
      </c>
      <c r="AJ94" s="56" t="str">
        <f t="shared" si="102"/>
        <v/>
      </c>
      <c r="AK94" s="56" t="str">
        <f t="shared" si="103"/>
        <v/>
      </c>
      <c r="AL94" s="56" t="str">
        <f t="shared" si="104"/>
        <v/>
      </c>
      <c r="AM94" s="56" t="str">
        <f t="shared" si="105"/>
        <v/>
      </c>
      <c r="AX94" s="24"/>
    </row>
    <row r="95" spans="12:59">
      <c r="L95" s="63">
        <f t="shared" si="78"/>
        <v>0</v>
      </c>
      <c r="M95" s="15" t="e">
        <f t="shared" si="79"/>
        <v>#DIV/0!</v>
      </c>
      <c r="N95" s="15" t="e">
        <f t="shared" si="80"/>
        <v>#DIV/0!</v>
      </c>
      <c r="O95" s="15" t="e">
        <f t="shared" si="81"/>
        <v>#DIV/0!</v>
      </c>
      <c r="P95" s="15" t="e">
        <f t="shared" si="82"/>
        <v>#DIV/0!</v>
      </c>
      <c r="Q95" s="16" t="e">
        <f t="shared" si="83"/>
        <v>#DIV/0!</v>
      </c>
      <c r="R95" s="16" t="e">
        <f t="shared" si="84"/>
        <v>#DIV/0!</v>
      </c>
      <c r="S95" s="14" t="e">
        <f t="shared" si="85"/>
        <v>#N/A</v>
      </c>
      <c r="T95" s="14" t="e">
        <f t="shared" si="86"/>
        <v>#N/A</v>
      </c>
      <c r="U95" s="22" t="e">
        <f t="shared" si="87"/>
        <v>#DIV/0!</v>
      </c>
      <c r="V95" s="22" t="str">
        <f t="shared" si="88"/>
        <v/>
      </c>
      <c r="W95" s="22" t="str">
        <f t="shared" si="89"/>
        <v/>
      </c>
      <c r="X95" s="22" t="e">
        <f t="shared" si="90"/>
        <v>#DIV/0!</v>
      </c>
      <c r="Y95" s="22" t="str">
        <f t="shared" si="91"/>
        <v/>
      </c>
      <c r="Z95" s="22" t="str">
        <f t="shared" si="92"/>
        <v/>
      </c>
      <c r="AA95" s="2">
        <f t="shared" si="93"/>
        <v>0</v>
      </c>
      <c r="AB95" s="2" t="str">
        <f t="shared" si="94"/>
        <v/>
      </c>
      <c r="AC95" s="2" t="str">
        <f t="shared" si="95"/>
        <v/>
      </c>
      <c r="AD95" s="52" t="str">
        <f t="shared" si="96"/>
        <v/>
      </c>
      <c r="AE95" s="52" t="str">
        <f t="shared" si="97"/>
        <v/>
      </c>
      <c r="AF95" s="52" t="str">
        <f t="shared" si="98"/>
        <v/>
      </c>
      <c r="AG95" s="52" t="str">
        <f t="shared" si="99"/>
        <v/>
      </c>
      <c r="AH95" s="52" t="str">
        <f t="shared" si="100"/>
        <v/>
      </c>
      <c r="AI95" s="52" t="str">
        <f t="shared" si="101"/>
        <v/>
      </c>
      <c r="AJ95" s="56" t="str">
        <f t="shared" si="102"/>
        <v/>
      </c>
      <c r="AK95" s="56" t="str">
        <f t="shared" si="103"/>
        <v/>
      </c>
      <c r="AL95" s="56" t="str">
        <f t="shared" si="104"/>
        <v/>
      </c>
      <c r="AM95" s="56" t="str">
        <f t="shared" si="105"/>
        <v/>
      </c>
      <c r="AX95" s="24"/>
    </row>
    <row r="96" spans="12:59">
      <c r="L96" s="63">
        <f t="shared" si="78"/>
        <v>0</v>
      </c>
      <c r="M96" s="15" t="e">
        <f t="shared" si="79"/>
        <v>#DIV/0!</v>
      </c>
      <c r="N96" s="15" t="e">
        <f t="shared" si="80"/>
        <v>#DIV/0!</v>
      </c>
      <c r="O96" s="15" t="e">
        <f t="shared" si="81"/>
        <v>#DIV/0!</v>
      </c>
      <c r="P96" s="15" t="e">
        <f t="shared" si="82"/>
        <v>#DIV/0!</v>
      </c>
      <c r="Q96" s="16" t="e">
        <f t="shared" si="83"/>
        <v>#DIV/0!</v>
      </c>
      <c r="R96" s="16" t="e">
        <f t="shared" si="84"/>
        <v>#DIV/0!</v>
      </c>
      <c r="S96" s="14" t="e">
        <f t="shared" si="85"/>
        <v>#N/A</v>
      </c>
      <c r="T96" s="14" t="e">
        <f t="shared" si="86"/>
        <v>#N/A</v>
      </c>
      <c r="U96" s="22" t="e">
        <f t="shared" si="87"/>
        <v>#DIV/0!</v>
      </c>
      <c r="V96" s="22" t="str">
        <f t="shared" si="88"/>
        <v/>
      </c>
      <c r="W96" s="22" t="str">
        <f t="shared" si="89"/>
        <v/>
      </c>
      <c r="X96" s="22" t="e">
        <f t="shared" si="90"/>
        <v>#DIV/0!</v>
      </c>
      <c r="Y96" s="22" t="str">
        <f t="shared" si="91"/>
        <v/>
      </c>
      <c r="Z96" s="22" t="str">
        <f t="shared" si="92"/>
        <v/>
      </c>
      <c r="AA96" s="2">
        <f t="shared" si="93"/>
        <v>0</v>
      </c>
      <c r="AB96" s="2" t="str">
        <f t="shared" si="94"/>
        <v/>
      </c>
      <c r="AC96" s="2" t="str">
        <f t="shared" si="95"/>
        <v/>
      </c>
      <c r="AD96" s="52" t="str">
        <f t="shared" si="96"/>
        <v/>
      </c>
      <c r="AE96" s="52" t="str">
        <f t="shared" si="97"/>
        <v/>
      </c>
      <c r="AF96" s="52" t="str">
        <f t="shared" si="98"/>
        <v/>
      </c>
      <c r="AG96" s="52" t="str">
        <f t="shared" si="99"/>
        <v/>
      </c>
      <c r="AH96" s="52" t="str">
        <f t="shared" si="100"/>
        <v/>
      </c>
      <c r="AI96" s="52" t="str">
        <f t="shared" si="101"/>
        <v/>
      </c>
      <c r="AJ96" s="56" t="str">
        <f t="shared" si="102"/>
        <v/>
      </c>
      <c r="AK96" s="56" t="str">
        <f t="shared" si="103"/>
        <v/>
      </c>
      <c r="AL96" s="56" t="str">
        <f t="shared" si="104"/>
        <v/>
      </c>
      <c r="AM96" s="56" t="str">
        <f t="shared" si="105"/>
        <v/>
      </c>
      <c r="AX96" s="24"/>
    </row>
    <row r="97" spans="12:50">
      <c r="L97" s="63">
        <f t="shared" si="78"/>
        <v>0</v>
      </c>
      <c r="M97" s="15" t="e">
        <f t="shared" si="79"/>
        <v>#DIV/0!</v>
      </c>
      <c r="N97" s="15" t="e">
        <f t="shared" si="80"/>
        <v>#DIV/0!</v>
      </c>
      <c r="O97" s="15" t="e">
        <f t="shared" si="81"/>
        <v>#DIV/0!</v>
      </c>
      <c r="P97" s="15" t="e">
        <f t="shared" si="82"/>
        <v>#DIV/0!</v>
      </c>
      <c r="Q97" s="16" t="e">
        <f t="shared" si="83"/>
        <v>#DIV/0!</v>
      </c>
      <c r="R97" s="16" t="e">
        <f t="shared" si="84"/>
        <v>#DIV/0!</v>
      </c>
      <c r="S97" s="14" t="e">
        <f t="shared" si="85"/>
        <v>#N/A</v>
      </c>
      <c r="T97" s="14" t="e">
        <f t="shared" si="86"/>
        <v>#N/A</v>
      </c>
      <c r="U97" s="22" t="e">
        <f t="shared" si="87"/>
        <v>#DIV/0!</v>
      </c>
      <c r="V97" s="22" t="str">
        <f t="shared" si="88"/>
        <v/>
      </c>
      <c r="W97" s="22" t="str">
        <f t="shared" si="89"/>
        <v/>
      </c>
      <c r="X97" s="22" t="e">
        <f t="shared" si="90"/>
        <v>#DIV/0!</v>
      </c>
      <c r="Y97" s="22" t="str">
        <f t="shared" si="91"/>
        <v/>
      </c>
      <c r="Z97" s="22" t="str">
        <f t="shared" si="92"/>
        <v/>
      </c>
      <c r="AA97" s="2">
        <f t="shared" si="93"/>
        <v>0</v>
      </c>
      <c r="AB97" s="2" t="str">
        <f t="shared" si="94"/>
        <v/>
      </c>
      <c r="AC97" s="2" t="str">
        <f t="shared" si="95"/>
        <v/>
      </c>
      <c r="AD97" s="52" t="str">
        <f t="shared" si="96"/>
        <v/>
      </c>
      <c r="AE97" s="52" t="str">
        <f t="shared" si="97"/>
        <v/>
      </c>
      <c r="AF97" s="52" t="str">
        <f t="shared" si="98"/>
        <v/>
      </c>
      <c r="AG97" s="52" t="str">
        <f t="shared" si="99"/>
        <v/>
      </c>
      <c r="AH97" s="52" t="str">
        <f t="shared" si="100"/>
        <v/>
      </c>
      <c r="AI97" s="52" t="str">
        <f t="shared" si="101"/>
        <v/>
      </c>
      <c r="AJ97" s="56" t="str">
        <f t="shared" si="102"/>
        <v/>
      </c>
      <c r="AK97" s="56" t="str">
        <f t="shared" si="103"/>
        <v/>
      </c>
      <c r="AL97" s="56" t="str">
        <f t="shared" si="104"/>
        <v/>
      </c>
      <c r="AM97" s="56" t="str">
        <f t="shared" si="105"/>
        <v/>
      </c>
      <c r="AX97" s="24"/>
    </row>
    <row r="98" spans="12:50">
      <c r="L98" s="63">
        <f t="shared" si="78"/>
        <v>0</v>
      </c>
      <c r="M98" s="15" t="e">
        <f t="shared" si="79"/>
        <v>#DIV/0!</v>
      </c>
      <c r="N98" s="15" t="e">
        <f t="shared" si="80"/>
        <v>#DIV/0!</v>
      </c>
      <c r="O98" s="15" t="e">
        <f t="shared" si="81"/>
        <v>#DIV/0!</v>
      </c>
      <c r="P98" s="15" t="e">
        <f t="shared" si="82"/>
        <v>#DIV/0!</v>
      </c>
      <c r="Q98" s="16" t="e">
        <f t="shared" si="83"/>
        <v>#DIV/0!</v>
      </c>
      <c r="R98" s="16" t="e">
        <f t="shared" si="84"/>
        <v>#DIV/0!</v>
      </c>
      <c r="S98" s="14" t="e">
        <f t="shared" si="85"/>
        <v>#N/A</v>
      </c>
      <c r="T98" s="14" t="e">
        <f t="shared" si="86"/>
        <v>#N/A</v>
      </c>
      <c r="U98" s="22" t="e">
        <f t="shared" si="87"/>
        <v>#DIV/0!</v>
      </c>
      <c r="V98" s="22" t="str">
        <f t="shared" si="88"/>
        <v/>
      </c>
      <c r="W98" s="22" t="str">
        <f t="shared" si="89"/>
        <v/>
      </c>
      <c r="X98" s="22" t="e">
        <f t="shared" si="90"/>
        <v>#DIV/0!</v>
      </c>
      <c r="Y98" s="22" t="str">
        <f t="shared" si="91"/>
        <v/>
      </c>
      <c r="Z98" s="22" t="str">
        <f t="shared" si="92"/>
        <v/>
      </c>
      <c r="AA98" s="2">
        <f t="shared" si="93"/>
        <v>0</v>
      </c>
      <c r="AB98" s="2" t="str">
        <f t="shared" si="94"/>
        <v/>
      </c>
      <c r="AC98" s="2" t="str">
        <f t="shared" si="95"/>
        <v/>
      </c>
      <c r="AD98" s="52" t="str">
        <f t="shared" si="96"/>
        <v/>
      </c>
      <c r="AE98" s="52" t="str">
        <f t="shared" si="97"/>
        <v/>
      </c>
      <c r="AF98" s="52" t="str">
        <f t="shared" si="98"/>
        <v/>
      </c>
      <c r="AG98" s="52" t="str">
        <f t="shared" si="99"/>
        <v/>
      </c>
      <c r="AH98" s="52" t="str">
        <f t="shared" si="100"/>
        <v/>
      </c>
      <c r="AI98" s="52" t="str">
        <f t="shared" si="101"/>
        <v/>
      </c>
      <c r="AJ98" s="56" t="str">
        <f t="shared" si="102"/>
        <v/>
      </c>
      <c r="AK98" s="56" t="str">
        <f t="shared" si="103"/>
        <v/>
      </c>
      <c r="AL98" s="56" t="str">
        <f t="shared" si="104"/>
        <v/>
      </c>
      <c r="AM98" s="56" t="str">
        <f t="shared" si="105"/>
        <v/>
      </c>
      <c r="AX98" s="24"/>
    </row>
    <row r="99" spans="12:50">
      <c r="L99" s="63">
        <f t="shared" si="78"/>
        <v>0</v>
      </c>
      <c r="M99" s="15" t="e">
        <f t="shared" si="79"/>
        <v>#DIV/0!</v>
      </c>
      <c r="N99" s="15" t="e">
        <f t="shared" si="80"/>
        <v>#DIV/0!</v>
      </c>
      <c r="O99" s="15" t="e">
        <f t="shared" si="81"/>
        <v>#DIV/0!</v>
      </c>
      <c r="P99" s="15" t="e">
        <f t="shared" si="82"/>
        <v>#DIV/0!</v>
      </c>
      <c r="Q99" s="16" t="e">
        <f t="shared" si="83"/>
        <v>#DIV/0!</v>
      </c>
      <c r="R99" s="16" t="e">
        <f t="shared" si="84"/>
        <v>#DIV/0!</v>
      </c>
      <c r="S99" s="14" t="e">
        <f t="shared" si="85"/>
        <v>#N/A</v>
      </c>
      <c r="T99" s="14" t="e">
        <f t="shared" si="86"/>
        <v>#N/A</v>
      </c>
      <c r="U99" s="22" t="e">
        <f t="shared" si="87"/>
        <v>#DIV/0!</v>
      </c>
      <c r="V99" s="22" t="str">
        <f t="shared" si="88"/>
        <v/>
      </c>
      <c r="W99" s="22" t="str">
        <f t="shared" si="89"/>
        <v/>
      </c>
      <c r="X99" s="22" t="e">
        <f t="shared" si="90"/>
        <v>#DIV/0!</v>
      </c>
      <c r="Y99" s="22" t="str">
        <f t="shared" si="91"/>
        <v/>
      </c>
      <c r="Z99" s="22" t="str">
        <f t="shared" si="92"/>
        <v/>
      </c>
      <c r="AA99" s="2">
        <f t="shared" si="93"/>
        <v>0</v>
      </c>
      <c r="AB99" s="2" t="str">
        <f t="shared" si="94"/>
        <v/>
      </c>
      <c r="AC99" s="2" t="str">
        <f t="shared" si="95"/>
        <v/>
      </c>
      <c r="AD99" s="52" t="str">
        <f t="shared" si="96"/>
        <v/>
      </c>
      <c r="AE99" s="52" t="str">
        <f t="shared" si="97"/>
        <v/>
      </c>
      <c r="AF99" s="52" t="str">
        <f t="shared" si="98"/>
        <v/>
      </c>
      <c r="AG99" s="52" t="str">
        <f t="shared" si="99"/>
        <v/>
      </c>
      <c r="AH99" s="52" t="str">
        <f t="shared" si="100"/>
        <v/>
      </c>
      <c r="AI99" s="52" t="str">
        <f t="shared" si="101"/>
        <v/>
      </c>
      <c r="AJ99" s="56" t="str">
        <f t="shared" si="102"/>
        <v/>
      </c>
      <c r="AK99" s="56" t="str">
        <f t="shared" si="103"/>
        <v/>
      </c>
      <c r="AL99" s="56" t="str">
        <f t="shared" si="104"/>
        <v/>
      </c>
      <c r="AM99" s="56" t="str">
        <f t="shared" si="105"/>
        <v/>
      </c>
      <c r="AX99" s="24"/>
    </row>
    <row r="100" spans="12:50">
      <c r="L100" s="63">
        <f t="shared" si="78"/>
        <v>0</v>
      </c>
      <c r="M100" s="15" t="e">
        <f t="shared" si="79"/>
        <v>#DIV/0!</v>
      </c>
      <c r="N100" s="15" t="e">
        <f t="shared" si="80"/>
        <v>#DIV/0!</v>
      </c>
      <c r="O100" s="15" t="e">
        <f t="shared" si="81"/>
        <v>#DIV/0!</v>
      </c>
      <c r="P100" s="15" t="e">
        <f t="shared" si="82"/>
        <v>#DIV/0!</v>
      </c>
      <c r="Q100" s="16" t="e">
        <f t="shared" si="83"/>
        <v>#DIV/0!</v>
      </c>
      <c r="R100" s="16" t="e">
        <f t="shared" si="84"/>
        <v>#DIV/0!</v>
      </c>
      <c r="S100" s="14" t="e">
        <f t="shared" si="85"/>
        <v>#N/A</v>
      </c>
      <c r="T100" s="14" t="e">
        <f t="shared" si="86"/>
        <v>#N/A</v>
      </c>
      <c r="U100" s="22" t="e">
        <f t="shared" si="87"/>
        <v>#DIV/0!</v>
      </c>
      <c r="V100" s="22" t="str">
        <f t="shared" si="88"/>
        <v/>
      </c>
      <c r="W100" s="22" t="str">
        <f t="shared" si="89"/>
        <v/>
      </c>
      <c r="X100" s="22" t="e">
        <f t="shared" si="90"/>
        <v>#DIV/0!</v>
      </c>
      <c r="Y100" s="22" t="str">
        <f t="shared" si="91"/>
        <v/>
      </c>
      <c r="Z100" s="22" t="str">
        <f t="shared" si="92"/>
        <v/>
      </c>
      <c r="AA100" s="2">
        <f t="shared" si="93"/>
        <v>0</v>
      </c>
      <c r="AB100" s="2" t="str">
        <f t="shared" si="94"/>
        <v/>
      </c>
      <c r="AC100" s="2" t="str">
        <f t="shared" si="95"/>
        <v/>
      </c>
      <c r="AD100" s="52" t="str">
        <f t="shared" si="96"/>
        <v/>
      </c>
      <c r="AE100" s="52" t="str">
        <f t="shared" si="97"/>
        <v/>
      </c>
      <c r="AF100" s="52" t="str">
        <f t="shared" si="98"/>
        <v/>
      </c>
      <c r="AG100" s="52" t="str">
        <f t="shared" si="99"/>
        <v/>
      </c>
      <c r="AH100" s="52" t="str">
        <f t="shared" si="100"/>
        <v/>
      </c>
      <c r="AI100" s="52" t="str">
        <f t="shared" si="101"/>
        <v/>
      </c>
      <c r="AJ100" s="56" t="str">
        <f t="shared" si="102"/>
        <v/>
      </c>
      <c r="AK100" s="56" t="str">
        <f t="shared" si="103"/>
        <v/>
      </c>
      <c r="AL100" s="56" t="str">
        <f t="shared" si="104"/>
        <v/>
      </c>
      <c r="AM100" s="56" t="str">
        <f t="shared" si="105"/>
        <v/>
      </c>
      <c r="AX100" s="24"/>
    </row>
    <row r="101" spans="12:50">
      <c r="L101" s="63">
        <f t="shared" si="78"/>
        <v>0</v>
      </c>
      <c r="M101" s="15" t="e">
        <f t="shared" si="79"/>
        <v>#DIV/0!</v>
      </c>
      <c r="N101" s="15" t="e">
        <f t="shared" si="80"/>
        <v>#DIV/0!</v>
      </c>
      <c r="O101" s="15" t="e">
        <f t="shared" si="81"/>
        <v>#DIV/0!</v>
      </c>
      <c r="P101" s="15" t="e">
        <f t="shared" si="82"/>
        <v>#DIV/0!</v>
      </c>
      <c r="Q101" s="16" t="e">
        <f t="shared" si="83"/>
        <v>#DIV/0!</v>
      </c>
      <c r="R101" s="16" t="e">
        <f t="shared" si="84"/>
        <v>#DIV/0!</v>
      </c>
      <c r="S101" s="14" t="e">
        <f t="shared" si="85"/>
        <v>#N/A</v>
      </c>
      <c r="T101" s="14" t="e">
        <f t="shared" si="86"/>
        <v>#N/A</v>
      </c>
      <c r="U101" s="22" t="e">
        <f t="shared" si="87"/>
        <v>#DIV/0!</v>
      </c>
      <c r="V101" s="22" t="str">
        <f t="shared" si="88"/>
        <v/>
      </c>
      <c r="W101" s="22" t="str">
        <f t="shared" si="89"/>
        <v/>
      </c>
      <c r="X101" s="22" t="e">
        <f t="shared" si="90"/>
        <v>#DIV/0!</v>
      </c>
      <c r="Y101" s="22" t="str">
        <f t="shared" si="91"/>
        <v/>
      </c>
      <c r="Z101" s="22" t="str">
        <f t="shared" si="92"/>
        <v/>
      </c>
      <c r="AA101" s="2">
        <f t="shared" si="93"/>
        <v>0</v>
      </c>
      <c r="AB101" s="2" t="str">
        <f t="shared" si="94"/>
        <v/>
      </c>
      <c r="AC101" s="2" t="str">
        <f t="shared" si="95"/>
        <v/>
      </c>
      <c r="AD101" s="52" t="str">
        <f t="shared" si="96"/>
        <v/>
      </c>
      <c r="AE101" s="52" t="str">
        <f t="shared" si="97"/>
        <v/>
      </c>
      <c r="AF101" s="52" t="str">
        <f t="shared" si="98"/>
        <v/>
      </c>
      <c r="AG101" s="52" t="str">
        <f t="shared" si="99"/>
        <v/>
      </c>
      <c r="AH101" s="52" t="str">
        <f t="shared" si="100"/>
        <v/>
      </c>
      <c r="AI101" s="52" t="str">
        <f t="shared" si="101"/>
        <v/>
      </c>
      <c r="AJ101" s="56" t="str">
        <f t="shared" si="102"/>
        <v/>
      </c>
      <c r="AK101" s="56" t="str">
        <f t="shared" si="103"/>
        <v/>
      </c>
      <c r="AL101" s="56" t="str">
        <f t="shared" si="104"/>
        <v/>
      </c>
      <c r="AM101" s="56" t="str">
        <f t="shared" si="105"/>
        <v/>
      </c>
      <c r="AX101" s="24"/>
    </row>
    <row r="102" spans="12:50">
      <c r="L102" s="63">
        <f t="shared" si="78"/>
        <v>0</v>
      </c>
      <c r="M102" s="15" t="e">
        <f t="shared" si="79"/>
        <v>#DIV/0!</v>
      </c>
      <c r="N102" s="15" t="e">
        <f t="shared" si="80"/>
        <v>#DIV/0!</v>
      </c>
      <c r="O102" s="15" t="e">
        <f t="shared" si="81"/>
        <v>#DIV/0!</v>
      </c>
      <c r="P102" s="15" t="e">
        <f t="shared" si="82"/>
        <v>#DIV/0!</v>
      </c>
      <c r="Q102" s="16" t="e">
        <f t="shared" si="83"/>
        <v>#DIV/0!</v>
      </c>
      <c r="R102" s="16" t="e">
        <f t="shared" si="84"/>
        <v>#DIV/0!</v>
      </c>
      <c r="S102" s="14" t="e">
        <f t="shared" si="85"/>
        <v>#N/A</v>
      </c>
      <c r="T102" s="14" t="e">
        <f t="shared" si="86"/>
        <v>#N/A</v>
      </c>
      <c r="U102" s="22" t="e">
        <f t="shared" si="87"/>
        <v>#DIV/0!</v>
      </c>
      <c r="V102" s="22" t="str">
        <f t="shared" si="88"/>
        <v/>
      </c>
      <c r="W102" s="22" t="str">
        <f t="shared" si="89"/>
        <v/>
      </c>
      <c r="X102" s="22" t="e">
        <f t="shared" si="90"/>
        <v>#DIV/0!</v>
      </c>
      <c r="Y102" s="22" t="str">
        <f t="shared" si="91"/>
        <v/>
      </c>
      <c r="Z102" s="22" t="str">
        <f t="shared" si="92"/>
        <v/>
      </c>
      <c r="AA102" s="2">
        <f t="shared" si="93"/>
        <v>0</v>
      </c>
      <c r="AB102" s="2" t="str">
        <f t="shared" si="94"/>
        <v/>
      </c>
      <c r="AC102" s="2" t="str">
        <f t="shared" si="95"/>
        <v/>
      </c>
      <c r="AD102" s="52" t="str">
        <f t="shared" si="96"/>
        <v/>
      </c>
      <c r="AE102" s="52" t="str">
        <f t="shared" si="97"/>
        <v/>
      </c>
      <c r="AF102" s="52" t="str">
        <f t="shared" si="98"/>
        <v/>
      </c>
      <c r="AG102" s="52" t="str">
        <f t="shared" si="99"/>
        <v/>
      </c>
      <c r="AH102" s="52" t="str">
        <f t="shared" si="100"/>
        <v/>
      </c>
      <c r="AI102" s="52" t="str">
        <f t="shared" si="101"/>
        <v/>
      </c>
      <c r="AJ102" s="56" t="str">
        <f t="shared" si="102"/>
        <v/>
      </c>
      <c r="AK102" s="56" t="str">
        <f t="shared" si="103"/>
        <v/>
      </c>
      <c r="AL102" s="56" t="str">
        <f t="shared" si="104"/>
        <v/>
      </c>
      <c r="AM102" s="56" t="str">
        <f t="shared" si="105"/>
        <v/>
      </c>
      <c r="AX102" s="24"/>
    </row>
    <row r="103" spans="12:50">
      <c r="L103" s="63">
        <f t="shared" si="78"/>
        <v>0</v>
      </c>
      <c r="M103" s="15" t="e">
        <f t="shared" si="79"/>
        <v>#DIV/0!</v>
      </c>
      <c r="N103" s="15" t="e">
        <f t="shared" si="80"/>
        <v>#DIV/0!</v>
      </c>
      <c r="O103" s="15" t="e">
        <f t="shared" si="81"/>
        <v>#DIV/0!</v>
      </c>
      <c r="P103" s="15" t="e">
        <f t="shared" si="82"/>
        <v>#DIV/0!</v>
      </c>
      <c r="Q103" s="16" t="e">
        <f t="shared" si="83"/>
        <v>#DIV/0!</v>
      </c>
      <c r="R103" s="16" t="e">
        <f t="shared" si="84"/>
        <v>#DIV/0!</v>
      </c>
      <c r="S103" s="14" t="e">
        <f t="shared" si="85"/>
        <v>#N/A</v>
      </c>
      <c r="T103" s="14" t="e">
        <f t="shared" si="86"/>
        <v>#N/A</v>
      </c>
      <c r="U103" s="22" t="e">
        <f t="shared" si="87"/>
        <v>#DIV/0!</v>
      </c>
      <c r="V103" s="22" t="str">
        <f t="shared" si="88"/>
        <v/>
      </c>
      <c r="W103" s="22" t="str">
        <f t="shared" si="89"/>
        <v/>
      </c>
      <c r="X103" s="22" t="e">
        <f t="shared" si="90"/>
        <v>#DIV/0!</v>
      </c>
      <c r="Y103" s="22" t="str">
        <f t="shared" si="91"/>
        <v/>
      </c>
      <c r="Z103" s="22" t="str">
        <f t="shared" si="92"/>
        <v/>
      </c>
      <c r="AA103" s="2">
        <f t="shared" si="93"/>
        <v>0</v>
      </c>
      <c r="AB103" s="2" t="str">
        <f t="shared" si="94"/>
        <v/>
      </c>
      <c r="AC103" s="2" t="str">
        <f t="shared" si="95"/>
        <v/>
      </c>
      <c r="AD103" s="52" t="str">
        <f t="shared" si="96"/>
        <v/>
      </c>
      <c r="AE103" s="52" t="str">
        <f t="shared" si="97"/>
        <v/>
      </c>
      <c r="AF103" s="52" t="str">
        <f t="shared" si="98"/>
        <v/>
      </c>
      <c r="AG103" s="52" t="str">
        <f t="shared" si="99"/>
        <v/>
      </c>
      <c r="AH103" s="52" t="str">
        <f t="shared" si="100"/>
        <v/>
      </c>
      <c r="AI103" s="52" t="str">
        <f t="shared" si="101"/>
        <v/>
      </c>
      <c r="AJ103" s="56" t="str">
        <f t="shared" si="102"/>
        <v/>
      </c>
      <c r="AK103" s="56" t="str">
        <f t="shared" si="103"/>
        <v/>
      </c>
      <c r="AL103" s="56" t="str">
        <f t="shared" si="104"/>
        <v/>
      </c>
      <c r="AM103" s="56" t="str">
        <f t="shared" si="105"/>
        <v/>
      </c>
      <c r="AX103" s="24"/>
    </row>
    <row r="104" spans="12:50">
      <c r="L104" s="63">
        <f t="shared" si="78"/>
        <v>0</v>
      </c>
      <c r="M104" s="15" t="e">
        <f t="shared" si="79"/>
        <v>#DIV/0!</v>
      </c>
      <c r="N104" s="15" t="e">
        <f t="shared" si="80"/>
        <v>#DIV/0!</v>
      </c>
      <c r="O104" s="15" t="e">
        <f t="shared" si="81"/>
        <v>#DIV/0!</v>
      </c>
      <c r="P104" s="15" t="e">
        <f t="shared" si="82"/>
        <v>#DIV/0!</v>
      </c>
      <c r="Q104" s="16" t="e">
        <f t="shared" si="83"/>
        <v>#DIV/0!</v>
      </c>
      <c r="R104" s="16" t="e">
        <f t="shared" si="84"/>
        <v>#DIV/0!</v>
      </c>
      <c r="S104" s="14" t="e">
        <f t="shared" si="85"/>
        <v>#N/A</v>
      </c>
      <c r="T104" s="14" t="e">
        <f t="shared" si="86"/>
        <v>#N/A</v>
      </c>
      <c r="U104" s="22" t="e">
        <f t="shared" si="87"/>
        <v>#DIV/0!</v>
      </c>
      <c r="V104" s="22" t="str">
        <f t="shared" si="88"/>
        <v/>
      </c>
      <c r="W104" s="22" t="str">
        <f t="shared" si="89"/>
        <v/>
      </c>
      <c r="X104" s="22" t="e">
        <f t="shared" si="90"/>
        <v>#DIV/0!</v>
      </c>
      <c r="Y104" s="22" t="str">
        <f t="shared" si="91"/>
        <v/>
      </c>
      <c r="Z104" s="22" t="str">
        <f t="shared" si="92"/>
        <v/>
      </c>
      <c r="AA104" s="2">
        <f t="shared" si="93"/>
        <v>0</v>
      </c>
      <c r="AB104" s="2" t="str">
        <f t="shared" si="94"/>
        <v/>
      </c>
      <c r="AC104" s="2" t="str">
        <f t="shared" si="95"/>
        <v/>
      </c>
      <c r="AD104" s="52" t="str">
        <f t="shared" si="96"/>
        <v/>
      </c>
      <c r="AE104" s="52" t="str">
        <f t="shared" si="97"/>
        <v/>
      </c>
      <c r="AF104" s="52" t="str">
        <f t="shared" si="98"/>
        <v/>
      </c>
      <c r="AG104" s="52" t="str">
        <f t="shared" si="99"/>
        <v/>
      </c>
      <c r="AH104" s="52" t="str">
        <f t="shared" si="100"/>
        <v/>
      </c>
      <c r="AI104" s="52" t="str">
        <f t="shared" si="101"/>
        <v/>
      </c>
      <c r="AJ104" s="56" t="str">
        <f t="shared" si="102"/>
        <v/>
      </c>
      <c r="AK104" s="56" t="str">
        <f t="shared" si="103"/>
        <v/>
      </c>
      <c r="AL104" s="56" t="str">
        <f t="shared" si="104"/>
        <v/>
      </c>
      <c r="AM104" s="56" t="str">
        <f t="shared" si="105"/>
        <v/>
      </c>
      <c r="AX104" s="24"/>
    </row>
    <row r="105" spans="12:50">
      <c r="L105" s="63">
        <f t="shared" si="78"/>
        <v>0</v>
      </c>
      <c r="M105" s="15" t="e">
        <f t="shared" si="79"/>
        <v>#DIV/0!</v>
      </c>
      <c r="N105" s="15" t="e">
        <f t="shared" si="80"/>
        <v>#DIV/0!</v>
      </c>
      <c r="O105" s="15" t="e">
        <f t="shared" si="81"/>
        <v>#DIV/0!</v>
      </c>
      <c r="P105" s="15" t="e">
        <f t="shared" si="82"/>
        <v>#DIV/0!</v>
      </c>
      <c r="Q105" s="16" t="e">
        <f t="shared" si="83"/>
        <v>#DIV/0!</v>
      </c>
      <c r="R105" s="16" t="e">
        <f t="shared" si="84"/>
        <v>#DIV/0!</v>
      </c>
      <c r="S105" s="14" t="e">
        <f t="shared" si="85"/>
        <v>#N/A</v>
      </c>
      <c r="T105" s="14" t="e">
        <f t="shared" si="86"/>
        <v>#N/A</v>
      </c>
      <c r="U105" s="22" t="e">
        <f t="shared" si="87"/>
        <v>#DIV/0!</v>
      </c>
      <c r="V105" s="22" t="str">
        <f t="shared" si="88"/>
        <v/>
      </c>
      <c r="W105" s="22" t="str">
        <f t="shared" si="89"/>
        <v/>
      </c>
      <c r="X105" s="22" t="e">
        <f t="shared" si="90"/>
        <v>#DIV/0!</v>
      </c>
      <c r="Y105" s="22" t="str">
        <f t="shared" si="91"/>
        <v/>
      </c>
      <c r="Z105" s="22" t="str">
        <f t="shared" si="92"/>
        <v/>
      </c>
      <c r="AA105" s="2">
        <f t="shared" si="93"/>
        <v>0</v>
      </c>
      <c r="AB105" s="2" t="str">
        <f t="shared" si="94"/>
        <v/>
      </c>
      <c r="AC105" s="2" t="str">
        <f t="shared" si="95"/>
        <v/>
      </c>
      <c r="AD105" s="52" t="str">
        <f t="shared" si="96"/>
        <v/>
      </c>
      <c r="AE105" s="52" t="str">
        <f t="shared" si="97"/>
        <v/>
      </c>
      <c r="AF105" s="52" t="str">
        <f t="shared" si="98"/>
        <v/>
      </c>
      <c r="AG105" s="52" t="str">
        <f t="shared" si="99"/>
        <v/>
      </c>
      <c r="AH105" s="52" t="str">
        <f t="shared" si="100"/>
        <v/>
      </c>
      <c r="AI105" s="52" t="str">
        <f t="shared" si="101"/>
        <v/>
      </c>
      <c r="AJ105" s="56" t="str">
        <f t="shared" si="102"/>
        <v/>
      </c>
      <c r="AK105" s="56" t="str">
        <f t="shared" si="103"/>
        <v/>
      </c>
      <c r="AL105" s="56" t="str">
        <f t="shared" si="104"/>
        <v/>
      </c>
      <c r="AM105" s="56" t="str">
        <f t="shared" si="105"/>
        <v/>
      </c>
      <c r="AX105" s="24"/>
    </row>
    <row r="106" spans="12:50">
      <c r="L106" s="63">
        <f t="shared" si="78"/>
        <v>0</v>
      </c>
      <c r="M106" s="15" t="e">
        <f t="shared" si="79"/>
        <v>#DIV/0!</v>
      </c>
      <c r="N106" s="15" t="e">
        <f t="shared" si="80"/>
        <v>#DIV/0!</v>
      </c>
      <c r="O106" s="15" t="e">
        <f t="shared" si="81"/>
        <v>#DIV/0!</v>
      </c>
      <c r="P106" s="15" t="e">
        <f t="shared" si="82"/>
        <v>#DIV/0!</v>
      </c>
      <c r="Q106" s="16" t="e">
        <f t="shared" si="83"/>
        <v>#DIV/0!</v>
      </c>
      <c r="R106" s="16" t="e">
        <f t="shared" si="84"/>
        <v>#DIV/0!</v>
      </c>
      <c r="S106" s="14" t="e">
        <f t="shared" si="85"/>
        <v>#N/A</v>
      </c>
      <c r="T106" s="14" t="e">
        <f t="shared" si="86"/>
        <v>#N/A</v>
      </c>
      <c r="U106" s="22" t="e">
        <f t="shared" si="87"/>
        <v>#DIV/0!</v>
      </c>
      <c r="V106" s="22" t="str">
        <f t="shared" si="88"/>
        <v/>
      </c>
      <c r="W106" s="22" t="str">
        <f t="shared" si="89"/>
        <v/>
      </c>
      <c r="X106" s="22" t="e">
        <f t="shared" si="90"/>
        <v>#DIV/0!</v>
      </c>
      <c r="Y106" s="22" t="str">
        <f t="shared" si="91"/>
        <v/>
      </c>
      <c r="Z106" s="22" t="str">
        <f t="shared" si="92"/>
        <v/>
      </c>
      <c r="AA106" s="2">
        <f t="shared" si="93"/>
        <v>0</v>
      </c>
      <c r="AB106" s="2" t="str">
        <f t="shared" si="94"/>
        <v/>
      </c>
      <c r="AC106" s="2" t="str">
        <f t="shared" si="95"/>
        <v/>
      </c>
      <c r="AD106" s="52" t="str">
        <f t="shared" si="96"/>
        <v/>
      </c>
      <c r="AE106" s="52" t="str">
        <f t="shared" si="97"/>
        <v/>
      </c>
      <c r="AF106" s="52" t="str">
        <f t="shared" si="98"/>
        <v/>
      </c>
      <c r="AG106" s="52" t="str">
        <f t="shared" si="99"/>
        <v/>
      </c>
      <c r="AH106" s="52" t="str">
        <f t="shared" si="100"/>
        <v/>
      </c>
      <c r="AI106" s="52" t="str">
        <f t="shared" si="101"/>
        <v/>
      </c>
      <c r="AJ106" s="56" t="str">
        <f t="shared" si="102"/>
        <v/>
      </c>
      <c r="AK106" s="56" t="str">
        <f t="shared" si="103"/>
        <v/>
      </c>
      <c r="AL106" s="56" t="str">
        <f t="shared" si="104"/>
        <v/>
      </c>
      <c r="AM106" s="56" t="str">
        <f t="shared" si="105"/>
        <v/>
      </c>
      <c r="AX106" s="24"/>
    </row>
    <row r="107" spans="12:50">
      <c r="L107" s="63">
        <f t="shared" si="78"/>
        <v>0</v>
      </c>
      <c r="M107" s="15" t="e">
        <f t="shared" si="79"/>
        <v>#DIV/0!</v>
      </c>
      <c r="N107" s="15" t="e">
        <f t="shared" si="80"/>
        <v>#DIV/0!</v>
      </c>
      <c r="O107" s="15" t="e">
        <f t="shared" si="81"/>
        <v>#DIV/0!</v>
      </c>
      <c r="P107" s="15" t="e">
        <f t="shared" si="82"/>
        <v>#DIV/0!</v>
      </c>
      <c r="Q107" s="16" t="e">
        <f t="shared" si="83"/>
        <v>#DIV/0!</v>
      </c>
      <c r="R107" s="16" t="e">
        <f t="shared" si="84"/>
        <v>#DIV/0!</v>
      </c>
      <c r="S107" s="14" t="e">
        <f t="shared" si="85"/>
        <v>#N/A</v>
      </c>
      <c r="T107" s="14" t="e">
        <f t="shared" si="86"/>
        <v>#N/A</v>
      </c>
      <c r="U107" s="22" t="e">
        <f t="shared" si="87"/>
        <v>#DIV/0!</v>
      </c>
      <c r="V107" s="22" t="str">
        <f t="shared" si="88"/>
        <v/>
      </c>
      <c r="W107" s="22" t="str">
        <f t="shared" si="89"/>
        <v/>
      </c>
      <c r="X107" s="22" t="e">
        <f t="shared" si="90"/>
        <v>#DIV/0!</v>
      </c>
      <c r="Y107" s="22" t="str">
        <f t="shared" si="91"/>
        <v/>
      </c>
      <c r="Z107" s="22" t="str">
        <f t="shared" si="92"/>
        <v/>
      </c>
      <c r="AA107" s="2">
        <f t="shared" si="93"/>
        <v>0</v>
      </c>
      <c r="AB107" s="2" t="str">
        <f t="shared" si="94"/>
        <v/>
      </c>
      <c r="AC107" s="2" t="str">
        <f t="shared" si="95"/>
        <v/>
      </c>
      <c r="AD107" s="52" t="str">
        <f t="shared" si="96"/>
        <v/>
      </c>
      <c r="AE107" s="52" t="str">
        <f t="shared" si="97"/>
        <v/>
      </c>
      <c r="AF107" s="52" t="str">
        <f t="shared" si="98"/>
        <v/>
      </c>
      <c r="AG107" s="52" t="str">
        <f t="shared" si="99"/>
        <v/>
      </c>
      <c r="AH107" s="52" t="str">
        <f t="shared" si="100"/>
        <v/>
      </c>
      <c r="AI107" s="52" t="str">
        <f t="shared" si="101"/>
        <v/>
      </c>
      <c r="AJ107" s="56" t="str">
        <f t="shared" si="102"/>
        <v/>
      </c>
      <c r="AK107" s="56" t="str">
        <f t="shared" si="103"/>
        <v/>
      </c>
      <c r="AL107" s="56" t="str">
        <f t="shared" si="104"/>
        <v/>
      </c>
      <c r="AM107" s="56" t="str">
        <f t="shared" si="105"/>
        <v/>
      </c>
      <c r="AX107" s="24"/>
    </row>
    <row r="108" spans="12:50">
      <c r="L108" s="63">
        <f t="shared" si="78"/>
        <v>0</v>
      </c>
      <c r="M108" s="15" t="e">
        <f t="shared" si="79"/>
        <v>#DIV/0!</v>
      </c>
      <c r="N108" s="15" t="e">
        <f t="shared" si="80"/>
        <v>#DIV/0!</v>
      </c>
      <c r="O108" s="15" t="e">
        <f t="shared" si="81"/>
        <v>#DIV/0!</v>
      </c>
      <c r="P108" s="15" t="e">
        <f t="shared" si="82"/>
        <v>#DIV/0!</v>
      </c>
      <c r="Q108" s="16" t="e">
        <f t="shared" si="83"/>
        <v>#DIV/0!</v>
      </c>
      <c r="R108" s="16" t="e">
        <f t="shared" si="84"/>
        <v>#DIV/0!</v>
      </c>
      <c r="S108" s="14" t="e">
        <f t="shared" si="85"/>
        <v>#N/A</v>
      </c>
      <c r="T108" s="14" t="e">
        <f t="shared" si="86"/>
        <v>#N/A</v>
      </c>
      <c r="U108" s="22" t="e">
        <f t="shared" si="87"/>
        <v>#DIV/0!</v>
      </c>
      <c r="V108" s="22" t="str">
        <f t="shared" si="88"/>
        <v/>
      </c>
      <c r="W108" s="22" t="str">
        <f t="shared" si="89"/>
        <v/>
      </c>
      <c r="X108" s="22" t="e">
        <f t="shared" si="90"/>
        <v>#DIV/0!</v>
      </c>
      <c r="Y108" s="22" t="str">
        <f t="shared" si="91"/>
        <v/>
      </c>
      <c r="Z108" s="22" t="str">
        <f t="shared" si="92"/>
        <v/>
      </c>
      <c r="AA108" s="2">
        <f t="shared" si="93"/>
        <v>0</v>
      </c>
      <c r="AB108" s="2" t="str">
        <f t="shared" si="94"/>
        <v/>
      </c>
      <c r="AC108" s="2" t="str">
        <f t="shared" si="95"/>
        <v/>
      </c>
      <c r="AD108" s="52" t="str">
        <f t="shared" si="96"/>
        <v/>
      </c>
      <c r="AE108" s="52" t="str">
        <f t="shared" si="97"/>
        <v/>
      </c>
      <c r="AF108" s="52" t="str">
        <f t="shared" si="98"/>
        <v/>
      </c>
      <c r="AG108" s="52" t="str">
        <f t="shared" si="99"/>
        <v/>
      </c>
      <c r="AH108" s="52" t="str">
        <f t="shared" si="100"/>
        <v/>
      </c>
      <c r="AI108" s="52" t="str">
        <f t="shared" si="101"/>
        <v/>
      </c>
      <c r="AJ108" s="56" t="str">
        <f t="shared" si="102"/>
        <v/>
      </c>
      <c r="AK108" s="56" t="str">
        <f t="shared" si="103"/>
        <v/>
      </c>
      <c r="AL108" s="56" t="str">
        <f t="shared" si="104"/>
        <v/>
      </c>
      <c r="AM108" s="56" t="str">
        <f t="shared" si="105"/>
        <v/>
      </c>
      <c r="AX108" s="24"/>
    </row>
    <row r="109" spans="12:50">
      <c r="L109" s="63">
        <f t="shared" si="78"/>
        <v>0</v>
      </c>
      <c r="M109" s="15" t="e">
        <f t="shared" si="79"/>
        <v>#DIV/0!</v>
      </c>
      <c r="N109" s="15" t="e">
        <f t="shared" si="80"/>
        <v>#DIV/0!</v>
      </c>
      <c r="O109" s="15" t="e">
        <f t="shared" si="81"/>
        <v>#DIV/0!</v>
      </c>
      <c r="P109" s="15" t="e">
        <f t="shared" si="82"/>
        <v>#DIV/0!</v>
      </c>
      <c r="Q109" s="16" t="e">
        <f t="shared" si="83"/>
        <v>#DIV/0!</v>
      </c>
      <c r="R109" s="16" t="e">
        <f t="shared" si="84"/>
        <v>#DIV/0!</v>
      </c>
      <c r="S109" s="14" t="e">
        <f t="shared" si="85"/>
        <v>#N/A</v>
      </c>
      <c r="T109" s="14" t="e">
        <f t="shared" si="86"/>
        <v>#N/A</v>
      </c>
      <c r="U109" s="22" t="e">
        <f t="shared" si="87"/>
        <v>#DIV/0!</v>
      </c>
      <c r="V109" s="22" t="str">
        <f t="shared" si="88"/>
        <v/>
      </c>
      <c r="W109" s="22" t="str">
        <f t="shared" si="89"/>
        <v/>
      </c>
      <c r="X109" s="22" t="e">
        <f t="shared" si="90"/>
        <v>#DIV/0!</v>
      </c>
      <c r="Y109" s="22" t="str">
        <f t="shared" si="91"/>
        <v/>
      </c>
      <c r="Z109" s="22" t="str">
        <f t="shared" si="92"/>
        <v/>
      </c>
      <c r="AA109" s="2">
        <f t="shared" si="93"/>
        <v>0</v>
      </c>
      <c r="AB109" s="2" t="str">
        <f t="shared" si="94"/>
        <v/>
      </c>
      <c r="AC109" s="2" t="str">
        <f t="shared" si="95"/>
        <v/>
      </c>
      <c r="AD109" s="52" t="str">
        <f t="shared" si="96"/>
        <v/>
      </c>
      <c r="AE109" s="52" t="str">
        <f t="shared" si="97"/>
        <v/>
      </c>
      <c r="AF109" s="52" t="str">
        <f t="shared" si="98"/>
        <v/>
      </c>
      <c r="AG109" s="52" t="str">
        <f t="shared" si="99"/>
        <v/>
      </c>
      <c r="AH109" s="52" t="str">
        <f t="shared" si="100"/>
        <v/>
      </c>
      <c r="AI109" s="52" t="str">
        <f t="shared" si="101"/>
        <v/>
      </c>
      <c r="AJ109" s="56" t="str">
        <f t="shared" si="102"/>
        <v/>
      </c>
      <c r="AK109" s="56" t="str">
        <f t="shared" si="103"/>
        <v/>
      </c>
      <c r="AL109" s="56" t="str">
        <f t="shared" si="104"/>
        <v/>
      </c>
      <c r="AM109" s="56" t="str">
        <f t="shared" si="105"/>
        <v/>
      </c>
      <c r="AX109" s="24"/>
    </row>
    <row r="110" spans="12:50">
      <c r="L110" s="63">
        <f t="shared" si="78"/>
        <v>0</v>
      </c>
      <c r="M110" s="15" t="e">
        <f t="shared" si="79"/>
        <v>#DIV/0!</v>
      </c>
      <c r="N110" s="15" t="e">
        <f t="shared" si="80"/>
        <v>#DIV/0!</v>
      </c>
      <c r="O110" s="15" t="e">
        <f t="shared" si="81"/>
        <v>#DIV/0!</v>
      </c>
      <c r="P110" s="15" t="e">
        <f t="shared" si="82"/>
        <v>#DIV/0!</v>
      </c>
      <c r="Q110" s="16" t="e">
        <f t="shared" si="83"/>
        <v>#DIV/0!</v>
      </c>
      <c r="R110" s="16" t="e">
        <f t="shared" si="84"/>
        <v>#DIV/0!</v>
      </c>
      <c r="S110" s="14" t="e">
        <f t="shared" si="85"/>
        <v>#N/A</v>
      </c>
      <c r="T110" s="14" t="e">
        <f t="shared" si="86"/>
        <v>#N/A</v>
      </c>
      <c r="U110" s="22" t="e">
        <f t="shared" si="87"/>
        <v>#DIV/0!</v>
      </c>
      <c r="V110" s="22" t="str">
        <f t="shared" si="88"/>
        <v/>
      </c>
      <c r="W110" s="22" t="str">
        <f t="shared" si="89"/>
        <v/>
      </c>
      <c r="X110" s="22" t="e">
        <f t="shared" si="90"/>
        <v>#DIV/0!</v>
      </c>
      <c r="Y110" s="22" t="str">
        <f t="shared" si="91"/>
        <v/>
      </c>
      <c r="Z110" s="22" t="str">
        <f t="shared" si="92"/>
        <v/>
      </c>
      <c r="AA110" s="2">
        <f t="shared" si="93"/>
        <v>0</v>
      </c>
      <c r="AB110" s="2" t="str">
        <f t="shared" si="94"/>
        <v/>
      </c>
      <c r="AC110" s="2" t="str">
        <f t="shared" si="95"/>
        <v/>
      </c>
      <c r="AD110" s="52" t="str">
        <f t="shared" si="96"/>
        <v/>
      </c>
      <c r="AE110" s="52" t="str">
        <f t="shared" si="97"/>
        <v/>
      </c>
      <c r="AF110" s="52" t="str">
        <f t="shared" si="98"/>
        <v/>
      </c>
      <c r="AG110" s="52" t="str">
        <f t="shared" si="99"/>
        <v/>
      </c>
      <c r="AH110" s="52" t="str">
        <f t="shared" si="100"/>
        <v/>
      </c>
      <c r="AI110" s="52" t="str">
        <f t="shared" si="101"/>
        <v/>
      </c>
      <c r="AJ110" s="56" t="str">
        <f t="shared" si="102"/>
        <v/>
      </c>
      <c r="AK110" s="56" t="str">
        <f t="shared" si="103"/>
        <v/>
      </c>
      <c r="AL110" s="56" t="str">
        <f t="shared" si="104"/>
        <v/>
      </c>
      <c r="AM110" s="56" t="str">
        <f t="shared" si="105"/>
        <v/>
      </c>
      <c r="AX110" s="24"/>
    </row>
    <row r="111" spans="12:50">
      <c r="L111" s="63">
        <f t="shared" si="78"/>
        <v>0</v>
      </c>
      <c r="M111" s="15" t="e">
        <f t="shared" si="79"/>
        <v>#DIV/0!</v>
      </c>
      <c r="N111" s="15" t="e">
        <f t="shared" si="80"/>
        <v>#DIV/0!</v>
      </c>
      <c r="O111" s="15" t="e">
        <f t="shared" si="81"/>
        <v>#DIV/0!</v>
      </c>
      <c r="P111" s="15" t="e">
        <f t="shared" si="82"/>
        <v>#DIV/0!</v>
      </c>
      <c r="Q111" s="16" t="e">
        <f t="shared" si="83"/>
        <v>#DIV/0!</v>
      </c>
      <c r="R111" s="16" t="e">
        <f t="shared" si="84"/>
        <v>#DIV/0!</v>
      </c>
      <c r="S111" s="14" t="e">
        <f t="shared" si="85"/>
        <v>#N/A</v>
      </c>
      <c r="T111" s="14" t="e">
        <f t="shared" si="86"/>
        <v>#N/A</v>
      </c>
      <c r="U111" s="22" t="e">
        <f t="shared" si="87"/>
        <v>#DIV/0!</v>
      </c>
      <c r="V111" s="22" t="str">
        <f t="shared" si="88"/>
        <v/>
      </c>
      <c r="W111" s="22" t="str">
        <f t="shared" si="89"/>
        <v/>
      </c>
      <c r="X111" s="22" t="e">
        <f t="shared" si="90"/>
        <v>#DIV/0!</v>
      </c>
      <c r="Y111" s="22" t="str">
        <f t="shared" si="91"/>
        <v/>
      </c>
      <c r="Z111" s="22" t="str">
        <f t="shared" si="92"/>
        <v/>
      </c>
      <c r="AA111" s="2">
        <f t="shared" si="93"/>
        <v>0</v>
      </c>
      <c r="AB111" s="2" t="str">
        <f t="shared" si="94"/>
        <v/>
      </c>
      <c r="AC111" s="2" t="str">
        <f t="shared" si="95"/>
        <v/>
      </c>
      <c r="AD111" s="52" t="str">
        <f t="shared" si="96"/>
        <v/>
      </c>
      <c r="AE111" s="52" t="str">
        <f t="shared" si="97"/>
        <v/>
      </c>
      <c r="AF111" s="52" t="str">
        <f t="shared" si="98"/>
        <v/>
      </c>
      <c r="AG111" s="52" t="str">
        <f t="shared" si="99"/>
        <v/>
      </c>
      <c r="AH111" s="52" t="str">
        <f t="shared" si="100"/>
        <v/>
      </c>
      <c r="AI111" s="52" t="str">
        <f t="shared" si="101"/>
        <v/>
      </c>
      <c r="AJ111" s="56" t="str">
        <f t="shared" si="102"/>
        <v/>
      </c>
      <c r="AK111" s="56" t="str">
        <f t="shared" si="103"/>
        <v/>
      </c>
      <c r="AL111" s="56" t="str">
        <f t="shared" si="104"/>
        <v/>
      </c>
      <c r="AM111" s="56" t="str">
        <f t="shared" si="105"/>
        <v/>
      </c>
      <c r="AX111" s="24"/>
    </row>
    <row r="112" spans="12:50">
      <c r="L112" s="63">
        <f t="shared" si="78"/>
        <v>0</v>
      </c>
      <c r="M112" s="15" t="e">
        <f t="shared" si="79"/>
        <v>#DIV/0!</v>
      </c>
      <c r="N112" s="15" t="e">
        <f t="shared" si="80"/>
        <v>#DIV/0!</v>
      </c>
      <c r="O112" s="15" t="e">
        <f t="shared" si="81"/>
        <v>#DIV/0!</v>
      </c>
      <c r="P112" s="15" t="e">
        <f t="shared" si="82"/>
        <v>#DIV/0!</v>
      </c>
      <c r="Q112" s="16" t="e">
        <f t="shared" si="83"/>
        <v>#DIV/0!</v>
      </c>
      <c r="R112" s="16" t="e">
        <f t="shared" si="84"/>
        <v>#DIV/0!</v>
      </c>
      <c r="S112" s="14" t="e">
        <f t="shared" si="85"/>
        <v>#N/A</v>
      </c>
      <c r="T112" s="14" t="e">
        <f t="shared" si="86"/>
        <v>#N/A</v>
      </c>
      <c r="U112" s="22" t="e">
        <f t="shared" si="87"/>
        <v>#DIV/0!</v>
      </c>
      <c r="V112" s="22" t="str">
        <f t="shared" si="88"/>
        <v/>
      </c>
      <c r="W112" s="22" t="str">
        <f t="shared" si="89"/>
        <v/>
      </c>
      <c r="X112" s="22" t="e">
        <f t="shared" si="90"/>
        <v>#DIV/0!</v>
      </c>
      <c r="Y112" s="22" t="str">
        <f t="shared" si="91"/>
        <v/>
      </c>
      <c r="Z112" s="22" t="str">
        <f t="shared" si="92"/>
        <v/>
      </c>
      <c r="AA112" s="2">
        <f t="shared" si="93"/>
        <v>0</v>
      </c>
      <c r="AB112" s="2" t="str">
        <f t="shared" si="94"/>
        <v/>
      </c>
      <c r="AC112" s="2" t="str">
        <f t="shared" si="95"/>
        <v/>
      </c>
      <c r="AD112" s="52" t="str">
        <f t="shared" si="96"/>
        <v/>
      </c>
      <c r="AE112" s="52" t="str">
        <f t="shared" si="97"/>
        <v/>
      </c>
      <c r="AF112" s="52" t="str">
        <f t="shared" si="98"/>
        <v/>
      </c>
      <c r="AG112" s="52" t="str">
        <f t="shared" si="99"/>
        <v/>
      </c>
      <c r="AH112" s="52" t="str">
        <f t="shared" si="100"/>
        <v/>
      </c>
      <c r="AI112" s="52" t="str">
        <f t="shared" si="101"/>
        <v/>
      </c>
      <c r="AJ112" s="56" t="str">
        <f t="shared" si="102"/>
        <v/>
      </c>
      <c r="AK112" s="56" t="str">
        <f t="shared" si="103"/>
        <v/>
      </c>
      <c r="AL112" s="56" t="str">
        <f t="shared" si="104"/>
        <v/>
      </c>
      <c r="AM112" s="56" t="str">
        <f t="shared" si="105"/>
        <v/>
      </c>
      <c r="AX112" s="24"/>
    </row>
    <row r="113" spans="12:50">
      <c r="L113" s="63">
        <f t="shared" si="78"/>
        <v>0</v>
      </c>
      <c r="M113" s="15" t="e">
        <f t="shared" si="79"/>
        <v>#DIV/0!</v>
      </c>
      <c r="N113" s="15" t="e">
        <f t="shared" si="80"/>
        <v>#DIV/0!</v>
      </c>
      <c r="O113" s="15" t="e">
        <f t="shared" si="81"/>
        <v>#DIV/0!</v>
      </c>
      <c r="P113" s="15" t="e">
        <f t="shared" si="82"/>
        <v>#DIV/0!</v>
      </c>
      <c r="Q113" s="16" t="e">
        <f t="shared" si="83"/>
        <v>#DIV/0!</v>
      </c>
      <c r="R113" s="16" t="e">
        <f t="shared" si="84"/>
        <v>#DIV/0!</v>
      </c>
      <c r="S113" s="14" t="e">
        <f t="shared" si="85"/>
        <v>#N/A</v>
      </c>
      <c r="T113" s="14" t="e">
        <f t="shared" si="86"/>
        <v>#N/A</v>
      </c>
      <c r="U113" s="22" t="e">
        <f t="shared" si="87"/>
        <v>#DIV/0!</v>
      </c>
      <c r="V113" s="22" t="str">
        <f t="shared" si="88"/>
        <v/>
      </c>
      <c r="W113" s="22" t="str">
        <f t="shared" si="89"/>
        <v/>
      </c>
      <c r="X113" s="22" t="e">
        <f t="shared" si="90"/>
        <v>#DIV/0!</v>
      </c>
      <c r="Y113" s="22" t="str">
        <f t="shared" si="91"/>
        <v/>
      </c>
      <c r="Z113" s="22" t="str">
        <f t="shared" si="92"/>
        <v/>
      </c>
      <c r="AA113" s="2">
        <f t="shared" si="93"/>
        <v>0</v>
      </c>
      <c r="AB113" s="2" t="str">
        <f t="shared" si="94"/>
        <v/>
      </c>
      <c r="AC113" s="2" t="str">
        <f t="shared" si="95"/>
        <v/>
      </c>
      <c r="AD113" s="52" t="str">
        <f t="shared" si="96"/>
        <v/>
      </c>
      <c r="AE113" s="52" t="str">
        <f t="shared" si="97"/>
        <v/>
      </c>
      <c r="AF113" s="52" t="str">
        <f t="shared" si="98"/>
        <v/>
      </c>
      <c r="AG113" s="52" t="str">
        <f t="shared" si="99"/>
        <v/>
      </c>
      <c r="AH113" s="52" t="str">
        <f t="shared" si="100"/>
        <v/>
      </c>
      <c r="AI113" s="52" t="str">
        <f t="shared" si="101"/>
        <v/>
      </c>
      <c r="AJ113" s="56" t="str">
        <f t="shared" si="102"/>
        <v/>
      </c>
      <c r="AK113" s="56" t="str">
        <f t="shared" si="103"/>
        <v/>
      </c>
      <c r="AL113" s="56" t="str">
        <f t="shared" si="104"/>
        <v/>
      </c>
      <c r="AM113" s="56" t="str">
        <f t="shared" si="105"/>
        <v/>
      </c>
      <c r="AX113" s="24"/>
    </row>
    <row r="114" spans="12:50">
      <c r="L114" s="63">
        <f t="shared" si="78"/>
        <v>0</v>
      </c>
      <c r="M114" s="15" t="e">
        <f t="shared" si="79"/>
        <v>#DIV/0!</v>
      </c>
      <c r="N114" s="15" t="e">
        <f t="shared" si="80"/>
        <v>#DIV/0!</v>
      </c>
      <c r="O114" s="15" t="e">
        <f t="shared" si="81"/>
        <v>#DIV/0!</v>
      </c>
      <c r="P114" s="15" t="e">
        <f t="shared" si="82"/>
        <v>#DIV/0!</v>
      </c>
      <c r="Q114" s="16" t="e">
        <f t="shared" si="83"/>
        <v>#DIV/0!</v>
      </c>
      <c r="R114" s="16" t="e">
        <f t="shared" si="84"/>
        <v>#DIV/0!</v>
      </c>
      <c r="S114" s="14" t="e">
        <f t="shared" si="85"/>
        <v>#N/A</v>
      </c>
      <c r="T114" s="14" t="e">
        <f t="shared" si="86"/>
        <v>#N/A</v>
      </c>
      <c r="U114" s="22" t="e">
        <f t="shared" si="87"/>
        <v>#DIV/0!</v>
      </c>
      <c r="V114" s="22" t="str">
        <f t="shared" si="88"/>
        <v/>
      </c>
      <c r="W114" s="22" t="str">
        <f t="shared" si="89"/>
        <v/>
      </c>
      <c r="X114" s="22" t="e">
        <f t="shared" si="90"/>
        <v>#DIV/0!</v>
      </c>
      <c r="Y114" s="22" t="str">
        <f t="shared" si="91"/>
        <v/>
      </c>
      <c r="Z114" s="22" t="str">
        <f t="shared" si="92"/>
        <v/>
      </c>
      <c r="AA114" s="2">
        <f t="shared" si="93"/>
        <v>0</v>
      </c>
      <c r="AB114" s="2" t="str">
        <f t="shared" si="94"/>
        <v/>
      </c>
      <c r="AC114" s="2" t="str">
        <f t="shared" si="95"/>
        <v/>
      </c>
      <c r="AD114" s="52" t="str">
        <f t="shared" si="96"/>
        <v/>
      </c>
      <c r="AE114" s="52" t="str">
        <f t="shared" si="97"/>
        <v/>
      </c>
      <c r="AF114" s="52" t="str">
        <f t="shared" si="98"/>
        <v/>
      </c>
      <c r="AG114" s="52" t="str">
        <f t="shared" si="99"/>
        <v/>
      </c>
      <c r="AH114" s="52" t="str">
        <f t="shared" si="100"/>
        <v/>
      </c>
      <c r="AI114" s="52" t="str">
        <f t="shared" si="101"/>
        <v/>
      </c>
      <c r="AJ114" s="56" t="str">
        <f t="shared" si="102"/>
        <v/>
      </c>
      <c r="AK114" s="56" t="str">
        <f t="shared" si="103"/>
        <v/>
      </c>
      <c r="AL114" s="56" t="str">
        <f t="shared" si="104"/>
        <v/>
      </c>
      <c r="AM114" s="56" t="str">
        <f t="shared" si="105"/>
        <v/>
      </c>
      <c r="AX114" s="24"/>
    </row>
    <row r="115" spans="12:50">
      <c r="L115" s="63">
        <f t="shared" si="78"/>
        <v>0</v>
      </c>
      <c r="M115" s="15" t="e">
        <f t="shared" si="79"/>
        <v>#DIV/0!</v>
      </c>
      <c r="N115" s="15" t="e">
        <f t="shared" si="80"/>
        <v>#DIV/0!</v>
      </c>
      <c r="O115" s="15" t="e">
        <f t="shared" si="81"/>
        <v>#DIV/0!</v>
      </c>
      <c r="P115" s="15" t="e">
        <f t="shared" si="82"/>
        <v>#DIV/0!</v>
      </c>
      <c r="Q115" s="16" t="e">
        <f t="shared" si="83"/>
        <v>#DIV/0!</v>
      </c>
      <c r="R115" s="16" t="e">
        <f t="shared" si="84"/>
        <v>#DIV/0!</v>
      </c>
      <c r="S115" s="14" t="e">
        <f t="shared" si="85"/>
        <v>#N/A</v>
      </c>
      <c r="T115" s="14" t="e">
        <f t="shared" si="86"/>
        <v>#N/A</v>
      </c>
      <c r="U115" s="22" t="e">
        <f t="shared" si="87"/>
        <v>#DIV/0!</v>
      </c>
      <c r="V115" s="22" t="str">
        <f t="shared" si="88"/>
        <v/>
      </c>
      <c r="W115" s="22" t="str">
        <f t="shared" si="89"/>
        <v/>
      </c>
      <c r="X115" s="22" t="e">
        <f t="shared" si="90"/>
        <v>#DIV/0!</v>
      </c>
      <c r="Y115" s="22" t="str">
        <f t="shared" si="91"/>
        <v/>
      </c>
      <c r="Z115" s="22" t="str">
        <f t="shared" si="92"/>
        <v/>
      </c>
      <c r="AA115" s="2">
        <f t="shared" si="93"/>
        <v>0</v>
      </c>
      <c r="AB115" s="2" t="str">
        <f t="shared" si="94"/>
        <v/>
      </c>
      <c r="AC115" s="2" t="str">
        <f t="shared" si="95"/>
        <v/>
      </c>
      <c r="AD115" s="52" t="str">
        <f t="shared" si="96"/>
        <v/>
      </c>
      <c r="AE115" s="52" t="str">
        <f t="shared" si="97"/>
        <v/>
      </c>
      <c r="AF115" s="52" t="str">
        <f t="shared" si="98"/>
        <v/>
      </c>
      <c r="AG115" s="52" t="str">
        <f t="shared" si="99"/>
        <v/>
      </c>
      <c r="AH115" s="52" t="str">
        <f t="shared" si="100"/>
        <v/>
      </c>
      <c r="AI115" s="52" t="str">
        <f t="shared" si="101"/>
        <v/>
      </c>
      <c r="AJ115" s="56" t="str">
        <f t="shared" si="102"/>
        <v/>
      </c>
      <c r="AK115" s="56" t="str">
        <f t="shared" si="103"/>
        <v/>
      </c>
      <c r="AL115" s="56" t="str">
        <f t="shared" si="104"/>
        <v/>
      </c>
      <c r="AM115" s="56" t="str">
        <f t="shared" si="105"/>
        <v/>
      </c>
      <c r="AX115" s="24"/>
    </row>
    <row r="116" spans="12:50">
      <c r="L116" s="63">
        <f t="shared" si="78"/>
        <v>0</v>
      </c>
      <c r="M116" s="15" t="e">
        <f t="shared" si="79"/>
        <v>#DIV/0!</v>
      </c>
      <c r="N116" s="15" t="e">
        <f t="shared" si="80"/>
        <v>#DIV/0!</v>
      </c>
      <c r="O116" s="15" t="e">
        <f t="shared" si="81"/>
        <v>#DIV/0!</v>
      </c>
      <c r="P116" s="15" t="e">
        <f t="shared" si="82"/>
        <v>#DIV/0!</v>
      </c>
      <c r="Q116" s="16" t="e">
        <f t="shared" si="83"/>
        <v>#DIV/0!</v>
      </c>
      <c r="R116" s="16" t="e">
        <f t="shared" si="84"/>
        <v>#DIV/0!</v>
      </c>
      <c r="S116" s="14" t="e">
        <f t="shared" si="85"/>
        <v>#N/A</v>
      </c>
      <c r="T116" s="14" t="e">
        <f t="shared" si="86"/>
        <v>#N/A</v>
      </c>
      <c r="U116" s="22" t="e">
        <f t="shared" si="87"/>
        <v>#DIV/0!</v>
      </c>
      <c r="V116" s="22" t="str">
        <f t="shared" si="88"/>
        <v/>
      </c>
      <c r="W116" s="22" t="str">
        <f t="shared" si="89"/>
        <v/>
      </c>
      <c r="X116" s="22" t="e">
        <f t="shared" si="90"/>
        <v>#DIV/0!</v>
      </c>
      <c r="Y116" s="22" t="str">
        <f t="shared" si="91"/>
        <v/>
      </c>
      <c r="Z116" s="22" t="str">
        <f t="shared" si="92"/>
        <v/>
      </c>
      <c r="AA116" s="2">
        <f t="shared" si="93"/>
        <v>0</v>
      </c>
      <c r="AB116" s="2" t="str">
        <f t="shared" si="94"/>
        <v/>
      </c>
      <c r="AC116" s="2" t="str">
        <f t="shared" si="95"/>
        <v/>
      </c>
      <c r="AD116" s="52" t="str">
        <f t="shared" si="96"/>
        <v/>
      </c>
      <c r="AE116" s="52" t="str">
        <f t="shared" si="97"/>
        <v/>
      </c>
      <c r="AF116" s="52" t="str">
        <f t="shared" si="98"/>
        <v/>
      </c>
      <c r="AG116" s="52" t="str">
        <f t="shared" si="99"/>
        <v/>
      </c>
      <c r="AH116" s="52" t="str">
        <f t="shared" si="100"/>
        <v/>
      </c>
      <c r="AI116" s="52" t="str">
        <f t="shared" si="101"/>
        <v/>
      </c>
      <c r="AJ116" s="56" t="str">
        <f t="shared" si="102"/>
        <v/>
      </c>
      <c r="AK116" s="56" t="str">
        <f t="shared" si="103"/>
        <v/>
      </c>
      <c r="AL116" s="56" t="str">
        <f t="shared" si="104"/>
        <v/>
      </c>
      <c r="AM116" s="56" t="str">
        <f t="shared" si="105"/>
        <v/>
      </c>
      <c r="AX116" s="24"/>
    </row>
    <row r="117" spans="12:50">
      <c r="L117" s="63">
        <f t="shared" si="78"/>
        <v>0</v>
      </c>
      <c r="M117" s="15" t="e">
        <f t="shared" si="79"/>
        <v>#DIV/0!</v>
      </c>
      <c r="N117" s="15" t="e">
        <f t="shared" si="80"/>
        <v>#DIV/0!</v>
      </c>
      <c r="O117" s="15" t="e">
        <f t="shared" si="81"/>
        <v>#DIV/0!</v>
      </c>
      <c r="P117" s="15" t="e">
        <f t="shared" si="82"/>
        <v>#DIV/0!</v>
      </c>
      <c r="Q117" s="16" t="e">
        <f t="shared" si="83"/>
        <v>#DIV/0!</v>
      </c>
      <c r="R117" s="16" t="e">
        <f t="shared" si="84"/>
        <v>#DIV/0!</v>
      </c>
      <c r="S117" s="14" t="e">
        <f t="shared" si="85"/>
        <v>#N/A</v>
      </c>
      <c r="T117" s="14" t="e">
        <f t="shared" si="86"/>
        <v>#N/A</v>
      </c>
      <c r="U117" s="22" t="e">
        <f t="shared" si="87"/>
        <v>#DIV/0!</v>
      </c>
      <c r="V117" s="22" t="str">
        <f t="shared" si="88"/>
        <v/>
      </c>
      <c r="W117" s="22" t="str">
        <f t="shared" si="89"/>
        <v/>
      </c>
      <c r="X117" s="22" t="e">
        <f t="shared" si="90"/>
        <v>#DIV/0!</v>
      </c>
      <c r="Y117" s="22" t="str">
        <f t="shared" si="91"/>
        <v/>
      </c>
      <c r="Z117" s="22" t="str">
        <f t="shared" si="92"/>
        <v/>
      </c>
      <c r="AA117" s="2">
        <f t="shared" si="93"/>
        <v>0</v>
      </c>
      <c r="AB117" s="2" t="str">
        <f t="shared" si="94"/>
        <v/>
      </c>
      <c r="AC117" s="2" t="str">
        <f t="shared" si="95"/>
        <v/>
      </c>
      <c r="AD117" s="52" t="str">
        <f t="shared" si="96"/>
        <v/>
      </c>
      <c r="AE117" s="52" t="str">
        <f t="shared" si="97"/>
        <v/>
      </c>
      <c r="AF117" s="52" t="str">
        <f t="shared" si="98"/>
        <v/>
      </c>
      <c r="AG117" s="52" t="str">
        <f t="shared" si="99"/>
        <v/>
      </c>
      <c r="AH117" s="52" t="str">
        <f t="shared" si="100"/>
        <v/>
      </c>
      <c r="AI117" s="52" t="str">
        <f t="shared" si="101"/>
        <v/>
      </c>
      <c r="AJ117" s="56" t="str">
        <f t="shared" si="102"/>
        <v/>
      </c>
      <c r="AK117" s="56" t="str">
        <f t="shared" si="103"/>
        <v/>
      </c>
      <c r="AL117" s="56" t="str">
        <f t="shared" si="104"/>
        <v/>
      </c>
      <c r="AM117" s="56" t="str">
        <f t="shared" si="105"/>
        <v/>
      </c>
      <c r="AX117" s="24"/>
    </row>
    <row r="118" spans="12:50">
      <c r="L118" s="63">
        <f t="shared" si="78"/>
        <v>0</v>
      </c>
      <c r="M118" s="15" t="e">
        <f t="shared" si="79"/>
        <v>#DIV/0!</v>
      </c>
      <c r="N118" s="15" t="e">
        <f t="shared" si="80"/>
        <v>#DIV/0!</v>
      </c>
      <c r="O118" s="15" t="e">
        <f t="shared" si="81"/>
        <v>#DIV/0!</v>
      </c>
      <c r="P118" s="15" t="e">
        <f t="shared" si="82"/>
        <v>#DIV/0!</v>
      </c>
      <c r="Q118" s="16" t="e">
        <f t="shared" si="83"/>
        <v>#DIV/0!</v>
      </c>
      <c r="R118" s="16" t="e">
        <f t="shared" si="84"/>
        <v>#DIV/0!</v>
      </c>
      <c r="S118" s="14" t="e">
        <f t="shared" si="85"/>
        <v>#N/A</v>
      </c>
      <c r="T118" s="14" t="e">
        <f t="shared" si="86"/>
        <v>#N/A</v>
      </c>
      <c r="U118" s="22" t="e">
        <f t="shared" si="87"/>
        <v>#DIV/0!</v>
      </c>
      <c r="V118" s="22" t="str">
        <f t="shared" si="88"/>
        <v/>
      </c>
      <c r="W118" s="22" t="str">
        <f t="shared" si="89"/>
        <v/>
      </c>
      <c r="X118" s="22" t="e">
        <f t="shared" si="90"/>
        <v>#DIV/0!</v>
      </c>
      <c r="Y118" s="22" t="str">
        <f t="shared" si="91"/>
        <v/>
      </c>
      <c r="Z118" s="22" t="str">
        <f t="shared" si="92"/>
        <v/>
      </c>
      <c r="AA118" s="2">
        <f t="shared" si="93"/>
        <v>0</v>
      </c>
      <c r="AB118" s="2" t="str">
        <f t="shared" si="94"/>
        <v/>
      </c>
      <c r="AC118" s="2" t="str">
        <f t="shared" si="95"/>
        <v/>
      </c>
      <c r="AD118" s="52" t="str">
        <f t="shared" si="96"/>
        <v/>
      </c>
      <c r="AE118" s="52" t="str">
        <f t="shared" si="97"/>
        <v/>
      </c>
      <c r="AF118" s="52" t="str">
        <f t="shared" si="98"/>
        <v/>
      </c>
      <c r="AG118" s="52" t="str">
        <f t="shared" si="99"/>
        <v/>
      </c>
      <c r="AH118" s="52" t="str">
        <f t="shared" si="100"/>
        <v/>
      </c>
      <c r="AI118" s="52" t="str">
        <f t="shared" si="101"/>
        <v/>
      </c>
      <c r="AJ118" s="56" t="str">
        <f t="shared" si="102"/>
        <v/>
      </c>
      <c r="AK118" s="56" t="str">
        <f t="shared" si="103"/>
        <v/>
      </c>
      <c r="AL118" s="56" t="str">
        <f t="shared" si="104"/>
        <v/>
      </c>
      <c r="AM118" s="56" t="str">
        <f t="shared" si="105"/>
        <v/>
      </c>
      <c r="AX118" s="24"/>
    </row>
    <row r="119" spans="12:50">
      <c r="L119" s="63">
        <f t="shared" si="78"/>
        <v>0</v>
      </c>
      <c r="M119" s="15" t="e">
        <f t="shared" si="79"/>
        <v>#DIV/0!</v>
      </c>
      <c r="N119" s="15" t="e">
        <f t="shared" si="80"/>
        <v>#DIV/0!</v>
      </c>
      <c r="O119" s="15" t="e">
        <f t="shared" si="81"/>
        <v>#DIV/0!</v>
      </c>
      <c r="P119" s="15" t="e">
        <f t="shared" si="82"/>
        <v>#DIV/0!</v>
      </c>
      <c r="Q119" s="16" t="e">
        <f t="shared" si="83"/>
        <v>#DIV/0!</v>
      </c>
      <c r="R119" s="16" t="e">
        <f t="shared" si="84"/>
        <v>#DIV/0!</v>
      </c>
      <c r="S119" s="14" t="e">
        <f t="shared" si="85"/>
        <v>#N/A</v>
      </c>
      <c r="T119" s="14" t="e">
        <f t="shared" si="86"/>
        <v>#N/A</v>
      </c>
      <c r="U119" s="22" t="e">
        <f t="shared" si="87"/>
        <v>#DIV/0!</v>
      </c>
      <c r="V119" s="22" t="str">
        <f t="shared" si="88"/>
        <v/>
      </c>
      <c r="W119" s="22" t="str">
        <f t="shared" si="89"/>
        <v/>
      </c>
      <c r="X119" s="22" t="e">
        <f t="shared" si="90"/>
        <v>#DIV/0!</v>
      </c>
      <c r="Y119" s="22" t="str">
        <f t="shared" si="91"/>
        <v/>
      </c>
      <c r="Z119" s="22" t="str">
        <f t="shared" si="92"/>
        <v/>
      </c>
      <c r="AA119" s="2">
        <f t="shared" si="93"/>
        <v>0</v>
      </c>
      <c r="AB119" s="2" t="str">
        <f t="shared" si="94"/>
        <v/>
      </c>
      <c r="AC119" s="2" t="str">
        <f t="shared" si="95"/>
        <v/>
      </c>
      <c r="AD119" s="52" t="str">
        <f t="shared" si="96"/>
        <v/>
      </c>
      <c r="AE119" s="52" t="str">
        <f t="shared" si="97"/>
        <v/>
      </c>
      <c r="AF119" s="52" t="str">
        <f t="shared" si="98"/>
        <v/>
      </c>
      <c r="AG119" s="52" t="str">
        <f t="shared" si="99"/>
        <v/>
      </c>
      <c r="AH119" s="52" t="str">
        <f t="shared" si="100"/>
        <v/>
      </c>
      <c r="AI119" s="52" t="str">
        <f t="shared" si="101"/>
        <v/>
      </c>
      <c r="AJ119" s="56" t="str">
        <f t="shared" si="102"/>
        <v/>
      </c>
      <c r="AK119" s="56" t="str">
        <f t="shared" si="103"/>
        <v/>
      </c>
      <c r="AL119" s="56" t="str">
        <f t="shared" si="104"/>
        <v/>
      </c>
      <c r="AM119" s="56" t="str">
        <f t="shared" si="105"/>
        <v/>
      </c>
      <c r="AX119" s="24"/>
    </row>
    <row r="120" spans="12:50">
      <c r="L120" s="63">
        <f t="shared" si="78"/>
        <v>0</v>
      </c>
      <c r="M120" s="15" t="e">
        <f t="shared" si="79"/>
        <v>#DIV/0!</v>
      </c>
      <c r="N120" s="15" t="e">
        <f t="shared" si="80"/>
        <v>#DIV/0!</v>
      </c>
      <c r="O120" s="15" t="e">
        <f t="shared" si="81"/>
        <v>#DIV/0!</v>
      </c>
      <c r="P120" s="15" t="e">
        <f t="shared" si="82"/>
        <v>#DIV/0!</v>
      </c>
      <c r="Q120" s="16" t="e">
        <f t="shared" si="83"/>
        <v>#DIV/0!</v>
      </c>
      <c r="R120" s="16" t="e">
        <f t="shared" si="84"/>
        <v>#DIV/0!</v>
      </c>
      <c r="S120" s="14" t="e">
        <f t="shared" si="85"/>
        <v>#N/A</v>
      </c>
      <c r="T120" s="14" t="e">
        <f t="shared" si="86"/>
        <v>#N/A</v>
      </c>
      <c r="U120" s="22" t="e">
        <f t="shared" si="87"/>
        <v>#DIV/0!</v>
      </c>
      <c r="V120" s="22" t="str">
        <f t="shared" si="88"/>
        <v/>
      </c>
      <c r="W120" s="22" t="str">
        <f t="shared" si="89"/>
        <v/>
      </c>
      <c r="X120" s="22" t="e">
        <f t="shared" si="90"/>
        <v>#DIV/0!</v>
      </c>
      <c r="Y120" s="22" t="str">
        <f t="shared" si="91"/>
        <v/>
      </c>
      <c r="Z120" s="22" t="str">
        <f t="shared" si="92"/>
        <v/>
      </c>
      <c r="AA120" s="2">
        <f t="shared" si="93"/>
        <v>0</v>
      </c>
      <c r="AB120" s="2" t="str">
        <f t="shared" si="94"/>
        <v/>
      </c>
      <c r="AC120" s="2" t="str">
        <f t="shared" si="95"/>
        <v/>
      </c>
      <c r="AD120" s="52" t="str">
        <f t="shared" si="96"/>
        <v/>
      </c>
      <c r="AE120" s="52" t="str">
        <f t="shared" si="97"/>
        <v/>
      </c>
      <c r="AF120" s="52" t="str">
        <f t="shared" si="98"/>
        <v/>
      </c>
      <c r="AG120" s="52" t="str">
        <f t="shared" si="99"/>
        <v/>
      </c>
      <c r="AH120" s="52" t="str">
        <f t="shared" si="100"/>
        <v/>
      </c>
      <c r="AI120" s="52" t="str">
        <f t="shared" si="101"/>
        <v/>
      </c>
      <c r="AJ120" s="56" t="str">
        <f t="shared" si="102"/>
        <v/>
      </c>
      <c r="AK120" s="56" t="str">
        <f t="shared" si="103"/>
        <v/>
      </c>
      <c r="AL120" s="56" t="str">
        <f t="shared" si="104"/>
        <v/>
      </c>
      <c r="AM120" s="56" t="str">
        <f t="shared" si="105"/>
        <v/>
      </c>
      <c r="AX120" s="24"/>
    </row>
    <row r="121" spans="12:50">
      <c r="L121" s="63">
        <f t="shared" si="78"/>
        <v>0</v>
      </c>
      <c r="M121" s="15" t="e">
        <f t="shared" si="79"/>
        <v>#DIV/0!</v>
      </c>
      <c r="N121" s="15" t="e">
        <f t="shared" si="80"/>
        <v>#DIV/0!</v>
      </c>
      <c r="O121" s="15" t="e">
        <f t="shared" si="81"/>
        <v>#DIV/0!</v>
      </c>
      <c r="P121" s="15" t="e">
        <f t="shared" si="82"/>
        <v>#DIV/0!</v>
      </c>
      <c r="Q121" s="16" t="e">
        <f t="shared" si="83"/>
        <v>#DIV/0!</v>
      </c>
      <c r="R121" s="16" t="e">
        <f t="shared" si="84"/>
        <v>#DIV/0!</v>
      </c>
      <c r="S121" s="14" t="e">
        <f t="shared" si="85"/>
        <v>#N/A</v>
      </c>
      <c r="T121" s="14" t="e">
        <f t="shared" si="86"/>
        <v>#N/A</v>
      </c>
      <c r="U121" s="22" t="e">
        <f t="shared" si="87"/>
        <v>#DIV/0!</v>
      </c>
      <c r="V121" s="22" t="str">
        <f t="shared" si="88"/>
        <v/>
      </c>
      <c r="W121" s="22" t="str">
        <f t="shared" si="89"/>
        <v/>
      </c>
      <c r="X121" s="22" t="e">
        <f t="shared" si="90"/>
        <v>#DIV/0!</v>
      </c>
      <c r="Y121" s="22" t="str">
        <f t="shared" si="91"/>
        <v/>
      </c>
      <c r="Z121" s="22" t="str">
        <f t="shared" si="92"/>
        <v/>
      </c>
      <c r="AA121" s="2">
        <f t="shared" si="93"/>
        <v>0</v>
      </c>
      <c r="AB121" s="2" t="str">
        <f t="shared" si="94"/>
        <v/>
      </c>
      <c r="AC121" s="2" t="str">
        <f t="shared" si="95"/>
        <v/>
      </c>
      <c r="AD121" s="52" t="str">
        <f t="shared" si="96"/>
        <v/>
      </c>
      <c r="AE121" s="52" t="str">
        <f t="shared" si="97"/>
        <v/>
      </c>
      <c r="AF121" s="52" t="str">
        <f t="shared" si="98"/>
        <v/>
      </c>
      <c r="AG121" s="52" t="str">
        <f t="shared" si="99"/>
        <v/>
      </c>
      <c r="AH121" s="52" t="str">
        <f t="shared" si="100"/>
        <v/>
      </c>
      <c r="AI121" s="52" t="str">
        <f t="shared" si="101"/>
        <v/>
      </c>
      <c r="AJ121" s="56" t="str">
        <f t="shared" si="102"/>
        <v/>
      </c>
      <c r="AK121" s="56" t="str">
        <f t="shared" si="103"/>
        <v/>
      </c>
      <c r="AL121" s="56" t="str">
        <f t="shared" si="104"/>
        <v/>
      </c>
      <c r="AM121" s="56" t="str">
        <f t="shared" si="105"/>
        <v/>
      </c>
      <c r="AX121" s="24"/>
    </row>
    <row r="122" spans="12:50">
      <c r="L122" s="63">
        <f t="shared" si="78"/>
        <v>0</v>
      </c>
      <c r="M122" s="15" t="e">
        <f t="shared" si="79"/>
        <v>#DIV/0!</v>
      </c>
      <c r="N122" s="15" t="e">
        <f t="shared" si="80"/>
        <v>#DIV/0!</v>
      </c>
      <c r="O122" s="15" t="e">
        <f t="shared" si="81"/>
        <v>#DIV/0!</v>
      </c>
      <c r="P122" s="15" t="e">
        <f t="shared" si="82"/>
        <v>#DIV/0!</v>
      </c>
      <c r="Q122" s="16" t="e">
        <f t="shared" si="83"/>
        <v>#DIV/0!</v>
      </c>
      <c r="R122" s="16" t="e">
        <f t="shared" si="84"/>
        <v>#DIV/0!</v>
      </c>
      <c r="S122" s="14" t="e">
        <f t="shared" si="85"/>
        <v>#N/A</v>
      </c>
      <c r="T122" s="14" t="e">
        <f t="shared" si="86"/>
        <v>#N/A</v>
      </c>
      <c r="U122" s="22" t="e">
        <f t="shared" si="87"/>
        <v>#DIV/0!</v>
      </c>
      <c r="V122" s="22" t="str">
        <f t="shared" si="88"/>
        <v/>
      </c>
      <c r="W122" s="22" t="str">
        <f t="shared" si="89"/>
        <v/>
      </c>
      <c r="X122" s="22" t="e">
        <f t="shared" si="90"/>
        <v>#DIV/0!</v>
      </c>
      <c r="Y122" s="22" t="str">
        <f t="shared" si="91"/>
        <v/>
      </c>
      <c r="Z122" s="22" t="str">
        <f t="shared" si="92"/>
        <v/>
      </c>
      <c r="AA122" s="2">
        <f t="shared" si="93"/>
        <v>0</v>
      </c>
      <c r="AB122" s="2" t="str">
        <f t="shared" si="94"/>
        <v/>
      </c>
      <c r="AC122" s="2" t="str">
        <f t="shared" si="95"/>
        <v/>
      </c>
      <c r="AD122" s="52" t="str">
        <f t="shared" si="96"/>
        <v/>
      </c>
      <c r="AE122" s="52" t="str">
        <f t="shared" si="97"/>
        <v/>
      </c>
      <c r="AF122" s="52" t="str">
        <f t="shared" si="98"/>
        <v/>
      </c>
      <c r="AG122" s="52" t="str">
        <f t="shared" si="99"/>
        <v/>
      </c>
      <c r="AH122" s="52" t="str">
        <f t="shared" si="100"/>
        <v/>
      </c>
      <c r="AI122" s="52" t="str">
        <f t="shared" si="101"/>
        <v/>
      </c>
      <c r="AJ122" s="56" t="str">
        <f t="shared" si="102"/>
        <v/>
      </c>
      <c r="AK122" s="56" t="str">
        <f t="shared" si="103"/>
        <v/>
      </c>
      <c r="AL122" s="56" t="str">
        <f t="shared" si="104"/>
        <v/>
      </c>
      <c r="AM122" s="56" t="str">
        <f t="shared" si="105"/>
        <v/>
      </c>
      <c r="AX122" s="24"/>
    </row>
    <row r="123" spans="12:50">
      <c r="L123" s="63">
        <f t="shared" si="78"/>
        <v>0</v>
      </c>
      <c r="M123" s="15" t="e">
        <f t="shared" si="79"/>
        <v>#DIV/0!</v>
      </c>
      <c r="N123" s="15" t="e">
        <f t="shared" si="80"/>
        <v>#DIV/0!</v>
      </c>
      <c r="O123" s="15" t="e">
        <f t="shared" si="81"/>
        <v>#DIV/0!</v>
      </c>
      <c r="P123" s="15" t="e">
        <f t="shared" si="82"/>
        <v>#DIV/0!</v>
      </c>
      <c r="Q123" s="16" t="e">
        <f t="shared" si="83"/>
        <v>#DIV/0!</v>
      </c>
      <c r="R123" s="16" t="e">
        <f t="shared" si="84"/>
        <v>#DIV/0!</v>
      </c>
      <c r="S123" s="14" t="e">
        <f t="shared" si="85"/>
        <v>#N/A</v>
      </c>
      <c r="T123" s="14" t="e">
        <f t="shared" si="86"/>
        <v>#N/A</v>
      </c>
      <c r="U123" s="22" t="e">
        <f t="shared" si="87"/>
        <v>#DIV/0!</v>
      </c>
      <c r="V123" s="22" t="str">
        <f t="shared" si="88"/>
        <v/>
      </c>
      <c r="W123" s="22" t="str">
        <f t="shared" si="89"/>
        <v/>
      </c>
      <c r="X123" s="22" t="e">
        <f t="shared" si="90"/>
        <v>#DIV/0!</v>
      </c>
      <c r="Y123" s="22" t="str">
        <f t="shared" si="91"/>
        <v/>
      </c>
      <c r="Z123" s="22" t="str">
        <f t="shared" si="92"/>
        <v/>
      </c>
      <c r="AA123" s="2">
        <f t="shared" si="93"/>
        <v>0</v>
      </c>
      <c r="AB123" s="2" t="str">
        <f t="shared" si="94"/>
        <v/>
      </c>
      <c r="AC123" s="2" t="str">
        <f t="shared" si="95"/>
        <v/>
      </c>
      <c r="AD123" s="52" t="str">
        <f t="shared" si="96"/>
        <v/>
      </c>
      <c r="AE123" s="52" t="str">
        <f t="shared" si="97"/>
        <v/>
      </c>
      <c r="AF123" s="52" t="str">
        <f t="shared" si="98"/>
        <v/>
      </c>
      <c r="AG123" s="52" t="str">
        <f t="shared" si="99"/>
        <v/>
      </c>
      <c r="AH123" s="52" t="str">
        <f t="shared" si="100"/>
        <v/>
      </c>
      <c r="AI123" s="52" t="str">
        <f t="shared" si="101"/>
        <v/>
      </c>
      <c r="AJ123" s="56" t="str">
        <f t="shared" si="102"/>
        <v/>
      </c>
      <c r="AK123" s="56" t="str">
        <f t="shared" si="103"/>
        <v/>
      </c>
      <c r="AL123" s="56" t="str">
        <f t="shared" si="104"/>
        <v/>
      </c>
      <c r="AM123" s="56" t="str">
        <f t="shared" si="105"/>
        <v/>
      </c>
      <c r="AX123" s="24"/>
    </row>
    <row r="124" spans="12:50">
      <c r="L124" s="63">
        <f t="shared" si="78"/>
        <v>0</v>
      </c>
      <c r="M124" s="15" t="e">
        <f t="shared" si="79"/>
        <v>#DIV/0!</v>
      </c>
      <c r="N124" s="15" t="e">
        <f t="shared" si="80"/>
        <v>#DIV/0!</v>
      </c>
      <c r="O124" s="15" t="e">
        <f t="shared" si="81"/>
        <v>#DIV/0!</v>
      </c>
      <c r="P124" s="15" t="e">
        <f t="shared" si="82"/>
        <v>#DIV/0!</v>
      </c>
      <c r="Q124" s="16" t="e">
        <f t="shared" si="83"/>
        <v>#DIV/0!</v>
      </c>
      <c r="R124" s="16" t="e">
        <f t="shared" si="84"/>
        <v>#DIV/0!</v>
      </c>
      <c r="S124" s="14" t="e">
        <f t="shared" si="85"/>
        <v>#N/A</v>
      </c>
      <c r="T124" s="14" t="e">
        <f t="shared" si="86"/>
        <v>#N/A</v>
      </c>
      <c r="U124" s="22" t="e">
        <f t="shared" si="87"/>
        <v>#DIV/0!</v>
      </c>
      <c r="V124" s="22" t="str">
        <f t="shared" si="88"/>
        <v/>
      </c>
      <c r="W124" s="22" t="str">
        <f t="shared" si="89"/>
        <v/>
      </c>
      <c r="X124" s="22" t="e">
        <f t="shared" si="90"/>
        <v>#DIV/0!</v>
      </c>
      <c r="Y124" s="22" t="str">
        <f t="shared" si="91"/>
        <v/>
      </c>
      <c r="Z124" s="22" t="str">
        <f t="shared" si="92"/>
        <v/>
      </c>
      <c r="AA124" s="2">
        <f t="shared" si="93"/>
        <v>0</v>
      </c>
      <c r="AB124" s="2" t="str">
        <f t="shared" si="94"/>
        <v/>
      </c>
      <c r="AC124" s="2" t="str">
        <f t="shared" si="95"/>
        <v/>
      </c>
      <c r="AD124" s="52" t="str">
        <f t="shared" si="96"/>
        <v/>
      </c>
      <c r="AE124" s="52" t="str">
        <f t="shared" si="97"/>
        <v/>
      </c>
      <c r="AF124" s="52" t="str">
        <f t="shared" si="98"/>
        <v/>
      </c>
      <c r="AG124" s="52" t="str">
        <f t="shared" si="99"/>
        <v/>
      </c>
      <c r="AH124" s="52" t="str">
        <f t="shared" si="100"/>
        <v/>
      </c>
      <c r="AI124" s="52" t="str">
        <f t="shared" si="101"/>
        <v/>
      </c>
      <c r="AJ124" s="56" t="str">
        <f t="shared" si="102"/>
        <v/>
      </c>
      <c r="AK124" s="56" t="str">
        <f t="shared" si="103"/>
        <v/>
      </c>
      <c r="AL124" s="56" t="str">
        <f t="shared" si="104"/>
        <v/>
      </c>
      <c r="AM124" s="56" t="str">
        <f t="shared" si="105"/>
        <v/>
      </c>
      <c r="AX124" s="24"/>
    </row>
    <row r="125" spans="12:50">
      <c r="L125" s="63">
        <f t="shared" ref="L125:L144" si="114">(I125+J125)/2</f>
        <v>0</v>
      </c>
      <c r="M125" s="15" t="e">
        <f t="shared" ref="M125:M144" si="115">I125/MAX($I125:$L125)</f>
        <v>#DIV/0!</v>
      </c>
      <c r="N125" s="15" t="e">
        <f t="shared" ref="N125:N144" si="116">J125/MAX($I125:$L125)</f>
        <v>#DIV/0!</v>
      </c>
      <c r="O125" s="15" t="e">
        <f t="shared" ref="O125:O144" si="117">K125/MAX($I125:$L125)</f>
        <v>#DIV/0!</v>
      </c>
      <c r="P125" s="15" t="e">
        <f t="shared" ref="P125:P144" si="118">L125/MAX($I125:$L125)</f>
        <v>#DIV/0!</v>
      </c>
      <c r="Q125" s="16" t="e">
        <f t="shared" ref="Q125:Q144" si="119">P125-O125</f>
        <v>#DIV/0!</v>
      </c>
      <c r="R125" s="16" t="e">
        <f t="shared" ref="R125:R144" si="120">M125-N125</f>
        <v>#DIV/0!</v>
      </c>
      <c r="S125" s="14" t="e">
        <f t="shared" ref="S125:S144" si="121">IF($D125=5, R125,NA())</f>
        <v>#N/A</v>
      </c>
      <c r="T125" s="14" t="e">
        <f t="shared" ref="T125:T144" si="122">IF($D125=6, R125,NA())</f>
        <v>#N/A</v>
      </c>
      <c r="U125" s="22" t="e">
        <f t="shared" ref="U125:U144" si="123">SIGN(Q125)*ACOS(R125/X125)*(180/PI())</f>
        <v>#DIV/0!</v>
      </c>
      <c r="V125" s="22" t="str">
        <f t="shared" ref="V125:V144" si="124">IF($D125=5, U125,"")</f>
        <v/>
      </c>
      <c r="W125" s="22" t="str">
        <f t="shared" ref="W125:W144" si="125">IF($D125=6, U125,"")</f>
        <v/>
      </c>
      <c r="X125" s="22" t="e">
        <f t="shared" ref="X125:X144" si="126">SQRT(Q125^2+R125^2)</f>
        <v>#DIV/0!</v>
      </c>
      <c r="Y125" s="22" t="str">
        <f t="shared" ref="Y125:Y144" si="127">IF($D125=5, X125,"")</f>
        <v/>
      </c>
      <c r="Z125" s="22" t="str">
        <f t="shared" ref="Z125:Z144" si="128">IF($D125=6, X125,"")</f>
        <v/>
      </c>
      <c r="AA125" s="2">
        <f t="shared" ref="AA125:AA144" si="129">((I125^2)-J125)-K125</f>
        <v>0</v>
      </c>
      <c r="AB125" s="2" t="str">
        <f t="shared" ref="AB125:AB144" si="130">IF(D125=5,0.2*I125+0.7*J125+0.07*K125,"")</f>
        <v/>
      </c>
      <c r="AC125" s="2" t="str">
        <f t="shared" ref="AC125:AC144" si="131">IF(D125=6,0.2*I125+0.7*J125+0.07*K125,"")</f>
        <v/>
      </c>
      <c r="AD125" s="52" t="str">
        <f t="shared" ref="AD125:AD144" si="132">IF(D125=5,(U125-MIN($U$6:$U$59))/(MAX($U$6:$U$59)-MIN($U$6:$U$59)),"")</f>
        <v/>
      </c>
      <c r="AE125" s="52" t="str">
        <f t="shared" ref="AE125:AE144" si="133">IF(D125=6,(U125-MIN($U$6:$U$59))/(MAX($U$6:$U$59)-MIN($U$6:$U$59)),"")</f>
        <v/>
      </c>
      <c r="AF125" s="52" t="str">
        <f t="shared" ref="AF125:AF144" si="134">IF(D125=5,(X125-MIN($X$2:$X$59))/(MAX($X$2:$X$59)-MIN($X$2:$X$59)),"")</f>
        <v/>
      </c>
      <c r="AG125" s="52" t="str">
        <f t="shared" ref="AG125:AG144" si="135">IF(D125=6,(X125-MIN($X$2:$X$59))/(MAX($X$2:$X$59)-MIN($X$2:$X$59)),"")</f>
        <v/>
      </c>
      <c r="AH125" s="52" t="str">
        <f t="shared" ref="AH125:AH144" si="136">IF(D125=5,SQRT((AD125-$AO$9)^2+(AF125-$AO$10)^2),"")</f>
        <v/>
      </c>
      <c r="AI125" s="52" t="str">
        <f t="shared" ref="AI125:AI144" si="137">IF(D125=6,SQRT((AE125-$AP$9)^2+(AG125-$AP$10)^2),"")</f>
        <v/>
      </c>
      <c r="AJ125" s="56" t="str">
        <f t="shared" ref="AJ125:AJ144" si="138">IF(AD125="","",$AP$13*AD125+$AP$14)</f>
        <v/>
      </c>
      <c r="AK125" s="56" t="str">
        <f t="shared" ref="AK125:AK144" si="139">IF(AE125="","",$AP$13*AE125+$AP$14)</f>
        <v/>
      </c>
      <c r="AL125" s="56" t="str">
        <f t="shared" ref="AL125:AL144" si="140">IF(AJ125&gt;AF125,1,"")</f>
        <v/>
      </c>
      <c r="AM125" s="56" t="str">
        <f t="shared" ref="AM125:AM144" si="141">IF(AK125&lt;AG125,1,"")</f>
        <v/>
      </c>
      <c r="AX125" s="24"/>
    </row>
    <row r="126" spans="12:50">
      <c r="L126" s="63">
        <f t="shared" si="114"/>
        <v>0</v>
      </c>
      <c r="M126" s="15" t="e">
        <f t="shared" si="115"/>
        <v>#DIV/0!</v>
      </c>
      <c r="N126" s="15" t="e">
        <f t="shared" si="116"/>
        <v>#DIV/0!</v>
      </c>
      <c r="O126" s="15" t="e">
        <f t="shared" si="117"/>
        <v>#DIV/0!</v>
      </c>
      <c r="P126" s="15" t="e">
        <f t="shared" si="118"/>
        <v>#DIV/0!</v>
      </c>
      <c r="Q126" s="16" t="e">
        <f t="shared" si="119"/>
        <v>#DIV/0!</v>
      </c>
      <c r="R126" s="16" t="e">
        <f t="shared" si="120"/>
        <v>#DIV/0!</v>
      </c>
      <c r="S126" s="14" t="e">
        <f t="shared" si="121"/>
        <v>#N/A</v>
      </c>
      <c r="T126" s="14" t="e">
        <f t="shared" si="122"/>
        <v>#N/A</v>
      </c>
      <c r="U126" s="22" t="e">
        <f t="shared" si="123"/>
        <v>#DIV/0!</v>
      </c>
      <c r="V126" s="22" t="str">
        <f t="shared" si="124"/>
        <v/>
      </c>
      <c r="W126" s="22" t="str">
        <f t="shared" si="125"/>
        <v/>
      </c>
      <c r="X126" s="22" t="e">
        <f t="shared" si="126"/>
        <v>#DIV/0!</v>
      </c>
      <c r="Y126" s="22" t="str">
        <f t="shared" si="127"/>
        <v/>
      </c>
      <c r="Z126" s="22" t="str">
        <f t="shared" si="128"/>
        <v/>
      </c>
      <c r="AA126" s="2">
        <f t="shared" si="129"/>
        <v>0</v>
      </c>
      <c r="AB126" s="2" t="str">
        <f t="shared" si="130"/>
        <v/>
      </c>
      <c r="AC126" s="2" t="str">
        <f t="shared" si="131"/>
        <v/>
      </c>
      <c r="AD126" s="52" t="str">
        <f t="shared" si="132"/>
        <v/>
      </c>
      <c r="AE126" s="52" t="str">
        <f t="shared" si="133"/>
        <v/>
      </c>
      <c r="AF126" s="52" t="str">
        <f t="shared" si="134"/>
        <v/>
      </c>
      <c r="AG126" s="52" t="str">
        <f t="shared" si="135"/>
        <v/>
      </c>
      <c r="AH126" s="52" t="str">
        <f t="shared" si="136"/>
        <v/>
      </c>
      <c r="AI126" s="52" t="str">
        <f t="shared" si="137"/>
        <v/>
      </c>
      <c r="AJ126" s="56" t="str">
        <f t="shared" si="138"/>
        <v/>
      </c>
      <c r="AK126" s="56" t="str">
        <f t="shared" si="139"/>
        <v/>
      </c>
      <c r="AL126" s="56" t="str">
        <f t="shared" si="140"/>
        <v/>
      </c>
      <c r="AM126" s="56" t="str">
        <f t="shared" si="141"/>
        <v/>
      </c>
      <c r="AX126" s="24"/>
    </row>
    <row r="127" spans="12:50">
      <c r="L127" s="63">
        <f t="shared" si="114"/>
        <v>0</v>
      </c>
      <c r="M127" s="15" t="e">
        <f t="shared" si="115"/>
        <v>#DIV/0!</v>
      </c>
      <c r="N127" s="15" t="e">
        <f t="shared" si="116"/>
        <v>#DIV/0!</v>
      </c>
      <c r="O127" s="15" t="e">
        <f t="shared" si="117"/>
        <v>#DIV/0!</v>
      </c>
      <c r="P127" s="15" t="e">
        <f t="shared" si="118"/>
        <v>#DIV/0!</v>
      </c>
      <c r="Q127" s="16" t="e">
        <f t="shared" si="119"/>
        <v>#DIV/0!</v>
      </c>
      <c r="R127" s="16" t="e">
        <f t="shared" si="120"/>
        <v>#DIV/0!</v>
      </c>
      <c r="S127" s="14" t="e">
        <f t="shared" si="121"/>
        <v>#N/A</v>
      </c>
      <c r="T127" s="14" t="e">
        <f t="shared" si="122"/>
        <v>#N/A</v>
      </c>
      <c r="U127" s="22" t="e">
        <f t="shared" si="123"/>
        <v>#DIV/0!</v>
      </c>
      <c r="V127" s="22" t="str">
        <f t="shared" si="124"/>
        <v/>
      </c>
      <c r="W127" s="22" t="str">
        <f t="shared" si="125"/>
        <v/>
      </c>
      <c r="X127" s="22" t="e">
        <f t="shared" si="126"/>
        <v>#DIV/0!</v>
      </c>
      <c r="Y127" s="22" t="str">
        <f t="shared" si="127"/>
        <v/>
      </c>
      <c r="Z127" s="22" t="str">
        <f t="shared" si="128"/>
        <v/>
      </c>
      <c r="AA127" s="2">
        <f t="shared" si="129"/>
        <v>0</v>
      </c>
      <c r="AB127" s="2" t="str">
        <f t="shared" si="130"/>
        <v/>
      </c>
      <c r="AC127" s="2" t="str">
        <f t="shared" si="131"/>
        <v/>
      </c>
      <c r="AD127" s="52" t="str">
        <f t="shared" si="132"/>
        <v/>
      </c>
      <c r="AE127" s="52" t="str">
        <f t="shared" si="133"/>
        <v/>
      </c>
      <c r="AF127" s="52" t="str">
        <f t="shared" si="134"/>
        <v/>
      </c>
      <c r="AG127" s="52" t="str">
        <f t="shared" si="135"/>
        <v/>
      </c>
      <c r="AH127" s="52" t="str">
        <f t="shared" si="136"/>
        <v/>
      </c>
      <c r="AI127" s="52" t="str">
        <f t="shared" si="137"/>
        <v/>
      </c>
      <c r="AJ127" s="56" t="str">
        <f t="shared" si="138"/>
        <v/>
      </c>
      <c r="AK127" s="56" t="str">
        <f t="shared" si="139"/>
        <v/>
      </c>
      <c r="AL127" s="56" t="str">
        <f t="shared" si="140"/>
        <v/>
      </c>
      <c r="AM127" s="56" t="str">
        <f t="shared" si="141"/>
        <v/>
      </c>
      <c r="AX127" s="24"/>
    </row>
    <row r="128" spans="12:50">
      <c r="L128" s="63">
        <f t="shared" si="114"/>
        <v>0</v>
      </c>
      <c r="M128" s="15" t="e">
        <f t="shared" si="115"/>
        <v>#DIV/0!</v>
      </c>
      <c r="N128" s="15" t="e">
        <f t="shared" si="116"/>
        <v>#DIV/0!</v>
      </c>
      <c r="O128" s="15" t="e">
        <f t="shared" si="117"/>
        <v>#DIV/0!</v>
      </c>
      <c r="P128" s="15" t="e">
        <f t="shared" si="118"/>
        <v>#DIV/0!</v>
      </c>
      <c r="Q128" s="16" t="e">
        <f t="shared" si="119"/>
        <v>#DIV/0!</v>
      </c>
      <c r="R128" s="16" t="e">
        <f t="shared" si="120"/>
        <v>#DIV/0!</v>
      </c>
      <c r="S128" s="14" t="e">
        <f t="shared" si="121"/>
        <v>#N/A</v>
      </c>
      <c r="T128" s="14" t="e">
        <f t="shared" si="122"/>
        <v>#N/A</v>
      </c>
      <c r="U128" s="22" t="e">
        <f t="shared" si="123"/>
        <v>#DIV/0!</v>
      </c>
      <c r="V128" s="22" t="str">
        <f t="shared" si="124"/>
        <v/>
      </c>
      <c r="W128" s="22" t="str">
        <f t="shared" si="125"/>
        <v/>
      </c>
      <c r="X128" s="22" t="e">
        <f t="shared" si="126"/>
        <v>#DIV/0!</v>
      </c>
      <c r="Y128" s="22" t="str">
        <f t="shared" si="127"/>
        <v/>
      </c>
      <c r="Z128" s="22" t="str">
        <f t="shared" si="128"/>
        <v/>
      </c>
      <c r="AA128" s="2">
        <f t="shared" si="129"/>
        <v>0</v>
      </c>
      <c r="AB128" s="2" t="str">
        <f t="shared" si="130"/>
        <v/>
      </c>
      <c r="AC128" s="2" t="str">
        <f t="shared" si="131"/>
        <v/>
      </c>
      <c r="AD128" s="52" t="str">
        <f t="shared" si="132"/>
        <v/>
      </c>
      <c r="AE128" s="52" t="str">
        <f t="shared" si="133"/>
        <v/>
      </c>
      <c r="AF128" s="52" t="str">
        <f t="shared" si="134"/>
        <v/>
      </c>
      <c r="AG128" s="52" t="str">
        <f t="shared" si="135"/>
        <v/>
      </c>
      <c r="AH128" s="52" t="str">
        <f t="shared" si="136"/>
        <v/>
      </c>
      <c r="AI128" s="52" t="str">
        <f t="shared" si="137"/>
        <v/>
      </c>
      <c r="AJ128" s="56" t="str">
        <f t="shared" si="138"/>
        <v/>
      </c>
      <c r="AK128" s="56" t="str">
        <f t="shared" si="139"/>
        <v/>
      </c>
      <c r="AL128" s="56" t="str">
        <f t="shared" si="140"/>
        <v/>
      </c>
      <c r="AM128" s="56" t="str">
        <f t="shared" si="141"/>
        <v/>
      </c>
      <c r="AX128" s="24"/>
    </row>
    <row r="129" spans="12:50">
      <c r="L129" s="63">
        <f t="shared" si="114"/>
        <v>0</v>
      </c>
      <c r="M129" s="15" t="e">
        <f t="shared" si="115"/>
        <v>#DIV/0!</v>
      </c>
      <c r="N129" s="15" t="e">
        <f t="shared" si="116"/>
        <v>#DIV/0!</v>
      </c>
      <c r="O129" s="15" t="e">
        <f t="shared" si="117"/>
        <v>#DIV/0!</v>
      </c>
      <c r="P129" s="15" t="e">
        <f t="shared" si="118"/>
        <v>#DIV/0!</v>
      </c>
      <c r="Q129" s="16" t="e">
        <f t="shared" si="119"/>
        <v>#DIV/0!</v>
      </c>
      <c r="R129" s="16" t="e">
        <f t="shared" si="120"/>
        <v>#DIV/0!</v>
      </c>
      <c r="S129" s="14" t="e">
        <f t="shared" si="121"/>
        <v>#N/A</v>
      </c>
      <c r="T129" s="14" t="e">
        <f t="shared" si="122"/>
        <v>#N/A</v>
      </c>
      <c r="U129" s="22" t="e">
        <f t="shared" si="123"/>
        <v>#DIV/0!</v>
      </c>
      <c r="V129" s="22" t="str">
        <f t="shared" si="124"/>
        <v/>
      </c>
      <c r="W129" s="22" t="str">
        <f t="shared" si="125"/>
        <v/>
      </c>
      <c r="X129" s="22" t="e">
        <f t="shared" si="126"/>
        <v>#DIV/0!</v>
      </c>
      <c r="Y129" s="22" t="str">
        <f t="shared" si="127"/>
        <v/>
      </c>
      <c r="Z129" s="22" t="str">
        <f t="shared" si="128"/>
        <v/>
      </c>
      <c r="AA129" s="2">
        <f t="shared" si="129"/>
        <v>0</v>
      </c>
      <c r="AB129" s="2" t="str">
        <f t="shared" si="130"/>
        <v/>
      </c>
      <c r="AC129" s="2" t="str">
        <f t="shared" si="131"/>
        <v/>
      </c>
      <c r="AD129" s="52" t="str">
        <f t="shared" si="132"/>
        <v/>
      </c>
      <c r="AE129" s="52" t="str">
        <f t="shared" si="133"/>
        <v/>
      </c>
      <c r="AF129" s="52" t="str">
        <f t="shared" si="134"/>
        <v/>
      </c>
      <c r="AG129" s="52" t="str">
        <f t="shared" si="135"/>
        <v/>
      </c>
      <c r="AH129" s="52" t="str">
        <f t="shared" si="136"/>
        <v/>
      </c>
      <c r="AI129" s="52" t="str">
        <f t="shared" si="137"/>
        <v/>
      </c>
      <c r="AJ129" s="56" t="str">
        <f t="shared" si="138"/>
        <v/>
      </c>
      <c r="AK129" s="56" t="str">
        <f t="shared" si="139"/>
        <v/>
      </c>
      <c r="AL129" s="56" t="str">
        <f t="shared" si="140"/>
        <v/>
      </c>
      <c r="AM129" s="56" t="str">
        <f t="shared" si="141"/>
        <v/>
      </c>
      <c r="AX129" s="24"/>
    </row>
    <row r="130" spans="12:50">
      <c r="L130" s="63">
        <f t="shared" si="114"/>
        <v>0</v>
      </c>
      <c r="M130" s="15" t="e">
        <f t="shared" si="115"/>
        <v>#DIV/0!</v>
      </c>
      <c r="N130" s="15" t="e">
        <f t="shared" si="116"/>
        <v>#DIV/0!</v>
      </c>
      <c r="O130" s="15" t="e">
        <f t="shared" si="117"/>
        <v>#DIV/0!</v>
      </c>
      <c r="P130" s="15" t="e">
        <f t="shared" si="118"/>
        <v>#DIV/0!</v>
      </c>
      <c r="Q130" s="16" t="e">
        <f t="shared" si="119"/>
        <v>#DIV/0!</v>
      </c>
      <c r="R130" s="16" t="e">
        <f t="shared" si="120"/>
        <v>#DIV/0!</v>
      </c>
      <c r="S130" s="14" t="e">
        <f t="shared" si="121"/>
        <v>#N/A</v>
      </c>
      <c r="T130" s="14" t="e">
        <f t="shared" si="122"/>
        <v>#N/A</v>
      </c>
      <c r="U130" s="22" t="e">
        <f t="shared" si="123"/>
        <v>#DIV/0!</v>
      </c>
      <c r="V130" s="22" t="str">
        <f t="shared" si="124"/>
        <v/>
      </c>
      <c r="W130" s="22" t="str">
        <f t="shared" si="125"/>
        <v/>
      </c>
      <c r="X130" s="22" t="e">
        <f t="shared" si="126"/>
        <v>#DIV/0!</v>
      </c>
      <c r="Y130" s="22" t="str">
        <f t="shared" si="127"/>
        <v/>
      </c>
      <c r="Z130" s="22" t="str">
        <f t="shared" si="128"/>
        <v/>
      </c>
      <c r="AA130" s="2">
        <f t="shared" si="129"/>
        <v>0</v>
      </c>
      <c r="AB130" s="2" t="str">
        <f t="shared" si="130"/>
        <v/>
      </c>
      <c r="AC130" s="2" t="str">
        <f t="shared" si="131"/>
        <v/>
      </c>
      <c r="AD130" s="52" t="str">
        <f t="shared" si="132"/>
        <v/>
      </c>
      <c r="AE130" s="52" t="str">
        <f t="shared" si="133"/>
        <v/>
      </c>
      <c r="AF130" s="52" t="str">
        <f t="shared" si="134"/>
        <v/>
      </c>
      <c r="AG130" s="52" t="str">
        <f t="shared" si="135"/>
        <v/>
      </c>
      <c r="AH130" s="52" t="str">
        <f t="shared" si="136"/>
        <v/>
      </c>
      <c r="AI130" s="52" t="str">
        <f t="shared" si="137"/>
        <v/>
      </c>
      <c r="AJ130" s="56" t="str">
        <f t="shared" si="138"/>
        <v/>
      </c>
      <c r="AK130" s="56" t="str">
        <f t="shared" si="139"/>
        <v/>
      </c>
      <c r="AL130" s="56" t="str">
        <f t="shared" si="140"/>
        <v/>
      </c>
      <c r="AM130" s="56" t="str">
        <f t="shared" si="141"/>
        <v/>
      </c>
      <c r="AX130" s="24"/>
    </row>
    <row r="131" spans="12:50">
      <c r="L131" s="63">
        <f t="shared" si="114"/>
        <v>0</v>
      </c>
      <c r="M131" s="15" t="e">
        <f t="shared" si="115"/>
        <v>#DIV/0!</v>
      </c>
      <c r="N131" s="15" t="e">
        <f t="shared" si="116"/>
        <v>#DIV/0!</v>
      </c>
      <c r="O131" s="15" t="e">
        <f t="shared" si="117"/>
        <v>#DIV/0!</v>
      </c>
      <c r="P131" s="15" t="e">
        <f t="shared" si="118"/>
        <v>#DIV/0!</v>
      </c>
      <c r="Q131" s="16" t="e">
        <f t="shared" si="119"/>
        <v>#DIV/0!</v>
      </c>
      <c r="R131" s="16" t="e">
        <f t="shared" si="120"/>
        <v>#DIV/0!</v>
      </c>
      <c r="S131" s="14" t="e">
        <f t="shared" si="121"/>
        <v>#N/A</v>
      </c>
      <c r="T131" s="14" t="e">
        <f t="shared" si="122"/>
        <v>#N/A</v>
      </c>
      <c r="U131" s="22" t="e">
        <f t="shared" si="123"/>
        <v>#DIV/0!</v>
      </c>
      <c r="V131" s="22" t="str">
        <f t="shared" si="124"/>
        <v/>
      </c>
      <c r="W131" s="22" t="str">
        <f t="shared" si="125"/>
        <v/>
      </c>
      <c r="X131" s="22" t="e">
        <f t="shared" si="126"/>
        <v>#DIV/0!</v>
      </c>
      <c r="Y131" s="22" t="str">
        <f t="shared" si="127"/>
        <v/>
      </c>
      <c r="Z131" s="22" t="str">
        <f t="shared" si="128"/>
        <v/>
      </c>
      <c r="AA131" s="2">
        <f t="shared" si="129"/>
        <v>0</v>
      </c>
      <c r="AB131" s="2" t="str">
        <f t="shared" si="130"/>
        <v/>
      </c>
      <c r="AC131" s="2" t="str">
        <f t="shared" si="131"/>
        <v/>
      </c>
      <c r="AD131" s="52" t="str">
        <f t="shared" si="132"/>
        <v/>
      </c>
      <c r="AE131" s="52" t="str">
        <f t="shared" si="133"/>
        <v/>
      </c>
      <c r="AF131" s="52" t="str">
        <f t="shared" si="134"/>
        <v/>
      </c>
      <c r="AG131" s="52" t="str">
        <f t="shared" si="135"/>
        <v/>
      </c>
      <c r="AH131" s="52" t="str">
        <f t="shared" si="136"/>
        <v/>
      </c>
      <c r="AI131" s="52" t="str">
        <f t="shared" si="137"/>
        <v/>
      </c>
      <c r="AJ131" s="56" t="str">
        <f t="shared" si="138"/>
        <v/>
      </c>
      <c r="AK131" s="56" t="str">
        <f t="shared" si="139"/>
        <v/>
      </c>
      <c r="AL131" s="56" t="str">
        <f t="shared" si="140"/>
        <v/>
      </c>
      <c r="AM131" s="56" t="str">
        <f t="shared" si="141"/>
        <v/>
      </c>
      <c r="AX131" s="24"/>
    </row>
    <row r="132" spans="12:50">
      <c r="L132" s="63">
        <f t="shared" si="114"/>
        <v>0</v>
      </c>
      <c r="M132" s="15" t="e">
        <f t="shared" si="115"/>
        <v>#DIV/0!</v>
      </c>
      <c r="N132" s="15" t="e">
        <f t="shared" si="116"/>
        <v>#DIV/0!</v>
      </c>
      <c r="O132" s="15" t="e">
        <f t="shared" si="117"/>
        <v>#DIV/0!</v>
      </c>
      <c r="P132" s="15" t="e">
        <f t="shared" si="118"/>
        <v>#DIV/0!</v>
      </c>
      <c r="Q132" s="16" t="e">
        <f t="shared" si="119"/>
        <v>#DIV/0!</v>
      </c>
      <c r="R132" s="16" t="e">
        <f t="shared" si="120"/>
        <v>#DIV/0!</v>
      </c>
      <c r="S132" s="14" t="e">
        <f t="shared" si="121"/>
        <v>#N/A</v>
      </c>
      <c r="T132" s="14" t="e">
        <f t="shared" si="122"/>
        <v>#N/A</v>
      </c>
      <c r="U132" s="22" t="e">
        <f t="shared" si="123"/>
        <v>#DIV/0!</v>
      </c>
      <c r="V132" s="22" t="str">
        <f t="shared" si="124"/>
        <v/>
      </c>
      <c r="W132" s="22" t="str">
        <f t="shared" si="125"/>
        <v/>
      </c>
      <c r="X132" s="22" t="e">
        <f t="shared" si="126"/>
        <v>#DIV/0!</v>
      </c>
      <c r="Y132" s="22" t="str">
        <f t="shared" si="127"/>
        <v/>
      </c>
      <c r="Z132" s="22" t="str">
        <f t="shared" si="128"/>
        <v/>
      </c>
      <c r="AA132" s="2">
        <f t="shared" si="129"/>
        <v>0</v>
      </c>
      <c r="AB132" s="2" t="str">
        <f t="shared" si="130"/>
        <v/>
      </c>
      <c r="AC132" s="2" t="str">
        <f t="shared" si="131"/>
        <v/>
      </c>
      <c r="AD132" s="52" t="str">
        <f t="shared" si="132"/>
        <v/>
      </c>
      <c r="AE132" s="52" t="str">
        <f t="shared" si="133"/>
        <v/>
      </c>
      <c r="AF132" s="52" t="str">
        <f t="shared" si="134"/>
        <v/>
      </c>
      <c r="AG132" s="52" t="str">
        <f t="shared" si="135"/>
        <v/>
      </c>
      <c r="AH132" s="52" t="str">
        <f t="shared" si="136"/>
        <v/>
      </c>
      <c r="AI132" s="52" t="str">
        <f t="shared" si="137"/>
        <v/>
      </c>
      <c r="AJ132" s="56" t="str">
        <f t="shared" si="138"/>
        <v/>
      </c>
      <c r="AK132" s="56" t="str">
        <f t="shared" si="139"/>
        <v/>
      </c>
      <c r="AL132" s="56" t="str">
        <f t="shared" si="140"/>
        <v/>
      </c>
      <c r="AM132" s="56" t="str">
        <f t="shared" si="141"/>
        <v/>
      </c>
      <c r="AX132" s="24"/>
    </row>
    <row r="133" spans="12:50">
      <c r="L133" s="63">
        <f t="shared" si="114"/>
        <v>0</v>
      </c>
      <c r="M133" s="15" t="e">
        <f t="shared" si="115"/>
        <v>#DIV/0!</v>
      </c>
      <c r="N133" s="15" t="e">
        <f t="shared" si="116"/>
        <v>#DIV/0!</v>
      </c>
      <c r="O133" s="15" t="e">
        <f t="shared" si="117"/>
        <v>#DIV/0!</v>
      </c>
      <c r="P133" s="15" t="e">
        <f t="shared" si="118"/>
        <v>#DIV/0!</v>
      </c>
      <c r="Q133" s="16" t="e">
        <f t="shared" si="119"/>
        <v>#DIV/0!</v>
      </c>
      <c r="R133" s="16" t="e">
        <f t="shared" si="120"/>
        <v>#DIV/0!</v>
      </c>
      <c r="S133" s="14" t="e">
        <f t="shared" si="121"/>
        <v>#N/A</v>
      </c>
      <c r="T133" s="14" t="e">
        <f t="shared" si="122"/>
        <v>#N/A</v>
      </c>
      <c r="U133" s="22" t="e">
        <f t="shared" si="123"/>
        <v>#DIV/0!</v>
      </c>
      <c r="V133" s="22" t="str">
        <f t="shared" si="124"/>
        <v/>
      </c>
      <c r="W133" s="22" t="str">
        <f t="shared" si="125"/>
        <v/>
      </c>
      <c r="X133" s="22" t="e">
        <f t="shared" si="126"/>
        <v>#DIV/0!</v>
      </c>
      <c r="Y133" s="22" t="str">
        <f t="shared" si="127"/>
        <v/>
      </c>
      <c r="Z133" s="22" t="str">
        <f t="shared" si="128"/>
        <v/>
      </c>
      <c r="AA133" s="2">
        <f t="shared" si="129"/>
        <v>0</v>
      </c>
      <c r="AB133" s="2" t="str">
        <f t="shared" si="130"/>
        <v/>
      </c>
      <c r="AC133" s="2" t="str">
        <f t="shared" si="131"/>
        <v/>
      </c>
      <c r="AD133" s="52" t="str">
        <f t="shared" si="132"/>
        <v/>
      </c>
      <c r="AE133" s="52" t="str">
        <f t="shared" si="133"/>
        <v/>
      </c>
      <c r="AF133" s="52" t="str">
        <f t="shared" si="134"/>
        <v/>
      </c>
      <c r="AG133" s="52" t="str">
        <f t="shared" si="135"/>
        <v/>
      </c>
      <c r="AH133" s="52" t="str">
        <f t="shared" si="136"/>
        <v/>
      </c>
      <c r="AI133" s="52" t="str">
        <f t="shared" si="137"/>
        <v/>
      </c>
      <c r="AJ133" s="56" t="str">
        <f t="shared" si="138"/>
        <v/>
      </c>
      <c r="AK133" s="56" t="str">
        <f t="shared" si="139"/>
        <v/>
      </c>
      <c r="AL133" s="56" t="str">
        <f t="shared" si="140"/>
        <v/>
      </c>
      <c r="AM133" s="56" t="str">
        <f t="shared" si="141"/>
        <v/>
      </c>
      <c r="AX133" s="24"/>
    </row>
    <row r="134" spans="12:50">
      <c r="L134" s="63">
        <f t="shared" si="114"/>
        <v>0</v>
      </c>
      <c r="M134" s="15" t="e">
        <f t="shared" si="115"/>
        <v>#DIV/0!</v>
      </c>
      <c r="N134" s="15" t="e">
        <f t="shared" si="116"/>
        <v>#DIV/0!</v>
      </c>
      <c r="O134" s="15" t="e">
        <f t="shared" si="117"/>
        <v>#DIV/0!</v>
      </c>
      <c r="P134" s="15" t="e">
        <f t="shared" si="118"/>
        <v>#DIV/0!</v>
      </c>
      <c r="Q134" s="16" t="e">
        <f t="shared" si="119"/>
        <v>#DIV/0!</v>
      </c>
      <c r="R134" s="16" t="e">
        <f t="shared" si="120"/>
        <v>#DIV/0!</v>
      </c>
      <c r="S134" s="14" t="e">
        <f t="shared" si="121"/>
        <v>#N/A</v>
      </c>
      <c r="T134" s="14" t="e">
        <f t="shared" si="122"/>
        <v>#N/A</v>
      </c>
      <c r="U134" s="22" t="e">
        <f t="shared" si="123"/>
        <v>#DIV/0!</v>
      </c>
      <c r="V134" s="22" t="str">
        <f t="shared" si="124"/>
        <v/>
      </c>
      <c r="W134" s="22" t="str">
        <f t="shared" si="125"/>
        <v/>
      </c>
      <c r="X134" s="22" t="e">
        <f t="shared" si="126"/>
        <v>#DIV/0!</v>
      </c>
      <c r="Y134" s="22" t="str">
        <f t="shared" si="127"/>
        <v/>
      </c>
      <c r="Z134" s="22" t="str">
        <f t="shared" si="128"/>
        <v/>
      </c>
      <c r="AA134" s="2">
        <f t="shared" si="129"/>
        <v>0</v>
      </c>
      <c r="AB134" s="2" t="str">
        <f t="shared" si="130"/>
        <v/>
      </c>
      <c r="AC134" s="2" t="str">
        <f t="shared" si="131"/>
        <v/>
      </c>
      <c r="AD134" s="52" t="str">
        <f t="shared" si="132"/>
        <v/>
      </c>
      <c r="AE134" s="52" t="str">
        <f t="shared" si="133"/>
        <v/>
      </c>
      <c r="AF134" s="52" t="str">
        <f t="shared" si="134"/>
        <v/>
      </c>
      <c r="AG134" s="52" t="str">
        <f t="shared" si="135"/>
        <v/>
      </c>
      <c r="AH134" s="52" t="str">
        <f t="shared" si="136"/>
        <v/>
      </c>
      <c r="AI134" s="52" t="str">
        <f t="shared" si="137"/>
        <v/>
      </c>
      <c r="AJ134" s="56" t="str">
        <f t="shared" si="138"/>
        <v/>
      </c>
      <c r="AK134" s="56" t="str">
        <f t="shared" si="139"/>
        <v/>
      </c>
      <c r="AL134" s="56" t="str">
        <f t="shared" si="140"/>
        <v/>
      </c>
      <c r="AM134" s="56" t="str">
        <f t="shared" si="141"/>
        <v/>
      </c>
      <c r="AX134" s="24"/>
    </row>
    <row r="135" spans="12:50">
      <c r="L135" s="63">
        <f t="shared" si="114"/>
        <v>0</v>
      </c>
      <c r="M135" s="15" t="e">
        <f t="shared" si="115"/>
        <v>#DIV/0!</v>
      </c>
      <c r="N135" s="15" t="e">
        <f t="shared" si="116"/>
        <v>#DIV/0!</v>
      </c>
      <c r="O135" s="15" t="e">
        <f t="shared" si="117"/>
        <v>#DIV/0!</v>
      </c>
      <c r="P135" s="15" t="e">
        <f t="shared" si="118"/>
        <v>#DIV/0!</v>
      </c>
      <c r="Q135" s="16" t="e">
        <f t="shared" si="119"/>
        <v>#DIV/0!</v>
      </c>
      <c r="R135" s="16" t="e">
        <f t="shared" si="120"/>
        <v>#DIV/0!</v>
      </c>
      <c r="S135" s="14" t="e">
        <f t="shared" si="121"/>
        <v>#N/A</v>
      </c>
      <c r="T135" s="14" t="e">
        <f t="shared" si="122"/>
        <v>#N/A</v>
      </c>
      <c r="U135" s="22" t="e">
        <f t="shared" si="123"/>
        <v>#DIV/0!</v>
      </c>
      <c r="V135" s="22" t="str">
        <f t="shared" si="124"/>
        <v/>
      </c>
      <c r="W135" s="22" t="str">
        <f t="shared" si="125"/>
        <v/>
      </c>
      <c r="X135" s="22" t="e">
        <f t="shared" si="126"/>
        <v>#DIV/0!</v>
      </c>
      <c r="Y135" s="22" t="str">
        <f t="shared" si="127"/>
        <v/>
      </c>
      <c r="Z135" s="22" t="str">
        <f t="shared" si="128"/>
        <v/>
      </c>
      <c r="AA135" s="2">
        <f t="shared" si="129"/>
        <v>0</v>
      </c>
      <c r="AB135" s="2" t="str">
        <f t="shared" si="130"/>
        <v/>
      </c>
      <c r="AC135" s="2" t="str">
        <f t="shared" si="131"/>
        <v/>
      </c>
      <c r="AD135" s="52" t="str">
        <f t="shared" si="132"/>
        <v/>
      </c>
      <c r="AE135" s="52" t="str">
        <f t="shared" si="133"/>
        <v/>
      </c>
      <c r="AF135" s="52" t="str">
        <f t="shared" si="134"/>
        <v/>
      </c>
      <c r="AG135" s="52" t="str">
        <f t="shared" si="135"/>
        <v/>
      </c>
      <c r="AH135" s="52" t="str">
        <f t="shared" si="136"/>
        <v/>
      </c>
      <c r="AI135" s="52" t="str">
        <f t="shared" si="137"/>
        <v/>
      </c>
      <c r="AJ135" s="56" t="str">
        <f t="shared" si="138"/>
        <v/>
      </c>
      <c r="AK135" s="56" t="str">
        <f t="shared" si="139"/>
        <v/>
      </c>
      <c r="AL135" s="56" t="str">
        <f t="shared" si="140"/>
        <v/>
      </c>
      <c r="AM135" s="56" t="str">
        <f t="shared" si="141"/>
        <v/>
      </c>
      <c r="AX135" s="24"/>
    </row>
    <row r="136" spans="12:50">
      <c r="L136" s="63">
        <f t="shared" si="114"/>
        <v>0</v>
      </c>
      <c r="M136" s="15" t="e">
        <f t="shared" si="115"/>
        <v>#DIV/0!</v>
      </c>
      <c r="N136" s="15" t="e">
        <f t="shared" si="116"/>
        <v>#DIV/0!</v>
      </c>
      <c r="O136" s="15" t="e">
        <f t="shared" si="117"/>
        <v>#DIV/0!</v>
      </c>
      <c r="P136" s="15" t="e">
        <f t="shared" si="118"/>
        <v>#DIV/0!</v>
      </c>
      <c r="Q136" s="16" t="e">
        <f t="shared" si="119"/>
        <v>#DIV/0!</v>
      </c>
      <c r="R136" s="16" t="e">
        <f t="shared" si="120"/>
        <v>#DIV/0!</v>
      </c>
      <c r="S136" s="14" t="e">
        <f t="shared" si="121"/>
        <v>#N/A</v>
      </c>
      <c r="T136" s="14" t="e">
        <f t="shared" si="122"/>
        <v>#N/A</v>
      </c>
      <c r="U136" s="22" t="e">
        <f t="shared" si="123"/>
        <v>#DIV/0!</v>
      </c>
      <c r="V136" s="22" t="str">
        <f t="shared" si="124"/>
        <v/>
      </c>
      <c r="W136" s="22" t="str">
        <f t="shared" si="125"/>
        <v/>
      </c>
      <c r="X136" s="22" t="e">
        <f t="shared" si="126"/>
        <v>#DIV/0!</v>
      </c>
      <c r="Y136" s="22" t="str">
        <f t="shared" si="127"/>
        <v/>
      </c>
      <c r="Z136" s="22" t="str">
        <f t="shared" si="128"/>
        <v/>
      </c>
      <c r="AA136" s="2">
        <f t="shared" si="129"/>
        <v>0</v>
      </c>
      <c r="AB136" s="2" t="str">
        <f t="shared" si="130"/>
        <v/>
      </c>
      <c r="AC136" s="2" t="str">
        <f t="shared" si="131"/>
        <v/>
      </c>
      <c r="AD136" s="52" t="str">
        <f t="shared" si="132"/>
        <v/>
      </c>
      <c r="AE136" s="52" t="str">
        <f t="shared" si="133"/>
        <v/>
      </c>
      <c r="AF136" s="52" t="str">
        <f t="shared" si="134"/>
        <v/>
      </c>
      <c r="AG136" s="52" t="str">
        <f t="shared" si="135"/>
        <v/>
      </c>
      <c r="AH136" s="52" t="str">
        <f t="shared" si="136"/>
        <v/>
      </c>
      <c r="AI136" s="52" t="str">
        <f t="shared" si="137"/>
        <v/>
      </c>
      <c r="AJ136" s="56" t="str">
        <f t="shared" si="138"/>
        <v/>
      </c>
      <c r="AK136" s="56" t="str">
        <f t="shared" si="139"/>
        <v/>
      </c>
      <c r="AL136" s="56" t="str">
        <f t="shared" si="140"/>
        <v/>
      </c>
      <c r="AM136" s="56" t="str">
        <f t="shared" si="141"/>
        <v/>
      </c>
      <c r="AX136" s="24"/>
    </row>
    <row r="137" spans="12:50">
      <c r="L137" s="63">
        <f t="shared" si="114"/>
        <v>0</v>
      </c>
      <c r="M137" s="15" t="e">
        <f t="shared" si="115"/>
        <v>#DIV/0!</v>
      </c>
      <c r="N137" s="15" t="e">
        <f t="shared" si="116"/>
        <v>#DIV/0!</v>
      </c>
      <c r="O137" s="15" t="e">
        <f t="shared" si="117"/>
        <v>#DIV/0!</v>
      </c>
      <c r="P137" s="15" t="e">
        <f t="shared" si="118"/>
        <v>#DIV/0!</v>
      </c>
      <c r="Q137" s="16" t="e">
        <f t="shared" si="119"/>
        <v>#DIV/0!</v>
      </c>
      <c r="R137" s="16" t="e">
        <f t="shared" si="120"/>
        <v>#DIV/0!</v>
      </c>
      <c r="S137" s="14" t="e">
        <f t="shared" si="121"/>
        <v>#N/A</v>
      </c>
      <c r="T137" s="14" t="e">
        <f t="shared" si="122"/>
        <v>#N/A</v>
      </c>
      <c r="U137" s="22" t="e">
        <f t="shared" si="123"/>
        <v>#DIV/0!</v>
      </c>
      <c r="V137" s="22" t="str">
        <f t="shared" si="124"/>
        <v/>
      </c>
      <c r="W137" s="22" t="str">
        <f t="shared" si="125"/>
        <v/>
      </c>
      <c r="X137" s="22" t="e">
        <f t="shared" si="126"/>
        <v>#DIV/0!</v>
      </c>
      <c r="Y137" s="22" t="str">
        <f t="shared" si="127"/>
        <v/>
      </c>
      <c r="Z137" s="22" t="str">
        <f t="shared" si="128"/>
        <v/>
      </c>
      <c r="AA137" s="2">
        <f t="shared" si="129"/>
        <v>0</v>
      </c>
      <c r="AB137" s="2" t="str">
        <f t="shared" si="130"/>
        <v/>
      </c>
      <c r="AC137" s="2" t="str">
        <f t="shared" si="131"/>
        <v/>
      </c>
      <c r="AD137" s="52" t="str">
        <f t="shared" si="132"/>
        <v/>
      </c>
      <c r="AE137" s="52" t="str">
        <f t="shared" si="133"/>
        <v/>
      </c>
      <c r="AF137" s="52" t="str">
        <f t="shared" si="134"/>
        <v/>
      </c>
      <c r="AG137" s="52" t="str">
        <f t="shared" si="135"/>
        <v/>
      </c>
      <c r="AH137" s="52" t="str">
        <f t="shared" si="136"/>
        <v/>
      </c>
      <c r="AI137" s="52" t="str">
        <f t="shared" si="137"/>
        <v/>
      </c>
      <c r="AJ137" s="56" t="str">
        <f t="shared" si="138"/>
        <v/>
      </c>
      <c r="AK137" s="56" t="str">
        <f t="shared" si="139"/>
        <v/>
      </c>
      <c r="AL137" s="56" t="str">
        <f t="shared" si="140"/>
        <v/>
      </c>
      <c r="AM137" s="56" t="str">
        <f t="shared" si="141"/>
        <v/>
      </c>
      <c r="AX137" s="24"/>
    </row>
    <row r="138" spans="12:50">
      <c r="L138" s="63">
        <f t="shared" si="114"/>
        <v>0</v>
      </c>
      <c r="M138" s="15" t="e">
        <f t="shared" si="115"/>
        <v>#DIV/0!</v>
      </c>
      <c r="N138" s="15" t="e">
        <f t="shared" si="116"/>
        <v>#DIV/0!</v>
      </c>
      <c r="O138" s="15" t="e">
        <f t="shared" si="117"/>
        <v>#DIV/0!</v>
      </c>
      <c r="P138" s="15" t="e">
        <f t="shared" si="118"/>
        <v>#DIV/0!</v>
      </c>
      <c r="Q138" s="16" t="e">
        <f t="shared" si="119"/>
        <v>#DIV/0!</v>
      </c>
      <c r="R138" s="16" t="e">
        <f t="shared" si="120"/>
        <v>#DIV/0!</v>
      </c>
      <c r="S138" s="14" t="e">
        <f t="shared" si="121"/>
        <v>#N/A</v>
      </c>
      <c r="T138" s="14" t="e">
        <f t="shared" si="122"/>
        <v>#N/A</v>
      </c>
      <c r="U138" s="22" t="e">
        <f t="shared" si="123"/>
        <v>#DIV/0!</v>
      </c>
      <c r="V138" s="22" t="str">
        <f t="shared" si="124"/>
        <v/>
      </c>
      <c r="W138" s="22" t="str">
        <f t="shared" si="125"/>
        <v/>
      </c>
      <c r="X138" s="22" t="e">
        <f t="shared" si="126"/>
        <v>#DIV/0!</v>
      </c>
      <c r="Y138" s="22" t="str">
        <f t="shared" si="127"/>
        <v/>
      </c>
      <c r="Z138" s="22" t="str">
        <f t="shared" si="128"/>
        <v/>
      </c>
      <c r="AA138" s="2">
        <f t="shared" si="129"/>
        <v>0</v>
      </c>
      <c r="AB138" s="2" t="str">
        <f t="shared" si="130"/>
        <v/>
      </c>
      <c r="AC138" s="2" t="str">
        <f t="shared" si="131"/>
        <v/>
      </c>
      <c r="AD138" s="52" t="str">
        <f t="shared" si="132"/>
        <v/>
      </c>
      <c r="AE138" s="52" t="str">
        <f t="shared" si="133"/>
        <v/>
      </c>
      <c r="AF138" s="52" t="str">
        <f t="shared" si="134"/>
        <v/>
      </c>
      <c r="AG138" s="52" t="str">
        <f t="shared" si="135"/>
        <v/>
      </c>
      <c r="AH138" s="52" t="str">
        <f t="shared" si="136"/>
        <v/>
      </c>
      <c r="AI138" s="52" t="str">
        <f t="shared" si="137"/>
        <v/>
      </c>
      <c r="AJ138" s="56" t="str">
        <f t="shared" si="138"/>
        <v/>
      </c>
      <c r="AK138" s="56" t="str">
        <f t="shared" si="139"/>
        <v/>
      </c>
      <c r="AL138" s="56" t="str">
        <f t="shared" si="140"/>
        <v/>
      </c>
      <c r="AM138" s="56" t="str">
        <f t="shared" si="141"/>
        <v/>
      </c>
      <c r="AX138" s="24"/>
    </row>
    <row r="139" spans="12:50">
      <c r="L139" s="63">
        <f t="shared" si="114"/>
        <v>0</v>
      </c>
      <c r="M139" s="15" t="e">
        <f t="shared" si="115"/>
        <v>#DIV/0!</v>
      </c>
      <c r="N139" s="15" t="e">
        <f t="shared" si="116"/>
        <v>#DIV/0!</v>
      </c>
      <c r="O139" s="15" t="e">
        <f t="shared" si="117"/>
        <v>#DIV/0!</v>
      </c>
      <c r="P139" s="15" t="e">
        <f t="shared" si="118"/>
        <v>#DIV/0!</v>
      </c>
      <c r="Q139" s="16" t="e">
        <f t="shared" si="119"/>
        <v>#DIV/0!</v>
      </c>
      <c r="R139" s="16" t="e">
        <f t="shared" si="120"/>
        <v>#DIV/0!</v>
      </c>
      <c r="S139" s="14" t="e">
        <f t="shared" si="121"/>
        <v>#N/A</v>
      </c>
      <c r="T139" s="14" t="e">
        <f t="shared" si="122"/>
        <v>#N/A</v>
      </c>
      <c r="U139" s="22" t="e">
        <f t="shared" si="123"/>
        <v>#DIV/0!</v>
      </c>
      <c r="V139" s="22" t="str">
        <f t="shared" si="124"/>
        <v/>
      </c>
      <c r="W139" s="22" t="str">
        <f t="shared" si="125"/>
        <v/>
      </c>
      <c r="X139" s="22" t="e">
        <f t="shared" si="126"/>
        <v>#DIV/0!</v>
      </c>
      <c r="Y139" s="22" t="str">
        <f t="shared" si="127"/>
        <v/>
      </c>
      <c r="Z139" s="22" t="str">
        <f t="shared" si="128"/>
        <v/>
      </c>
      <c r="AA139" s="2">
        <f t="shared" si="129"/>
        <v>0</v>
      </c>
      <c r="AB139" s="2" t="str">
        <f t="shared" si="130"/>
        <v/>
      </c>
      <c r="AC139" s="2" t="str">
        <f t="shared" si="131"/>
        <v/>
      </c>
      <c r="AD139" s="52" t="str">
        <f t="shared" si="132"/>
        <v/>
      </c>
      <c r="AE139" s="52" t="str">
        <f t="shared" si="133"/>
        <v/>
      </c>
      <c r="AF139" s="52" t="str">
        <f t="shared" si="134"/>
        <v/>
      </c>
      <c r="AG139" s="52" t="str">
        <f t="shared" si="135"/>
        <v/>
      </c>
      <c r="AH139" s="52" t="str">
        <f t="shared" si="136"/>
        <v/>
      </c>
      <c r="AI139" s="52" t="str">
        <f t="shared" si="137"/>
        <v/>
      </c>
      <c r="AJ139" s="56" t="str">
        <f t="shared" si="138"/>
        <v/>
      </c>
      <c r="AK139" s="56" t="str">
        <f t="shared" si="139"/>
        <v/>
      </c>
      <c r="AL139" s="56" t="str">
        <f t="shared" si="140"/>
        <v/>
      </c>
      <c r="AM139" s="56" t="str">
        <f t="shared" si="141"/>
        <v/>
      </c>
      <c r="AX139" s="24"/>
    </row>
    <row r="140" spans="12:50">
      <c r="L140" s="63">
        <f t="shared" si="114"/>
        <v>0</v>
      </c>
      <c r="M140" s="15" t="e">
        <f t="shared" si="115"/>
        <v>#DIV/0!</v>
      </c>
      <c r="N140" s="15" t="e">
        <f t="shared" si="116"/>
        <v>#DIV/0!</v>
      </c>
      <c r="O140" s="15" t="e">
        <f t="shared" si="117"/>
        <v>#DIV/0!</v>
      </c>
      <c r="P140" s="15" t="e">
        <f t="shared" si="118"/>
        <v>#DIV/0!</v>
      </c>
      <c r="Q140" s="16" t="e">
        <f t="shared" si="119"/>
        <v>#DIV/0!</v>
      </c>
      <c r="R140" s="16" t="e">
        <f t="shared" si="120"/>
        <v>#DIV/0!</v>
      </c>
      <c r="S140" s="14" t="e">
        <f t="shared" si="121"/>
        <v>#N/A</v>
      </c>
      <c r="T140" s="14" t="e">
        <f t="shared" si="122"/>
        <v>#N/A</v>
      </c>
      <c r="U140" s="22" t="e">
        <f t="shared" si="123"/>
        <v>#DIV/0!</v>
      </c>
      <c r="V140" s="22" t="str">
        <f t="shared" si="124"/>
        <v/>
      </c>
      <c r="W140" s="22" t="str">
        <f t="shared" si="125"/>
        <v/>
      </c>
      <c r="X140" s="22" t="e">
        <f t="shared" si="126"/>
        <v>#DIV/0!</v>
      </c>
      <c r="Y140" s="22" t="str">
        <f t="shared" si="127"/>
        <v/>
      </c>
      <c r="Z140" s="22" t="str">
        <f t="shared" si="128"/>
        <v/>
      </c>
      <c r="AA140" s="2">
        <f t="shared" si="129"/>
        <v>0</v>
      </c>
      <c r="AB140" s="2" t="str">
        <f t="shared" si="130"/>
        <v/>
      </c>
      <c r="AC140" s="2" t="str">
        <f t="shared" si="131"/>
        <v/>
      </c>
      <c r="AD140" s="52" t="str">
        <f t="shared" si="132"/>
        <v/>
      </c>
      <c r="AE140" s="52" t="str">
        <f t="shared" si="133"/>
        <v/>
      </c>
      <c r="AF140" s="52" t="str">
        <f t="shared" si="134"/>
        <v/>
      </c>
      <c r="AG140" s="52" t="str">
        <f t="shared" si="135"/>
        <v/>
      </c>
      <c r="AH140" s="52" t="str">
        <f t="shared" si="136"/>
        <v/>
      </c>
      <c r="AI140" s="52" t="str">
        <f t="shared" si="137"/>
        <v/>
      </c>
      <c r="AJ140" s="56" t="str">
        <f t="shared" si="138"/>
        <v/>
      </c>
      <c r="AK140" s="56" t="str">
        <f t="shared" si="139"/>
        <v/>
      </c>
      <c r="AL140" s="56" t="str">
        <f t="shared" si="140"/>
        <v/>
      </c>
      <c r="AM140" s="56" t="str">
        <f t="shared" si="141"/>
        <v/>
      </c>
      <c r="AX140" s="24"/>
    </row>
    <row r="141" spans="12:50">
      <c r="L141" s="63">
        <f t="shared" si="114"/>
        <v>0</v>
      </c>
      <c r="M141" s="15" t="e">
        <f t="shared" si="115"/>
        <v>#DIV/0!</v>
      </c>
      <c r="N141" s="15" t="e">
        <f t="shared" si="116"/>
        <v>#DIV/0!</v>
      </c>
      <c r="O141" s="15" t="e">
        <f t="shared" si="117"/>
        <v>#DIV/0!</v>
      </c>
      <c r="P141" s="15" t="e">
        <f t="shared" si="118"/>
        <v>#DIV/0!</v>
      </c>
      <c r="Q141" s="16" t="e">
        <f t="shared" si="119"/>
        <v>#DIV/0!</v>
      </c>
      <c r="R141" s="16" t="e">
        <f t="shared" si="120"/>
        <v>#DIV/0!</v>
      </c>
      <c r="S141" s="14" t="e">
        <f t="shared" si="121"/>
        <v>#N/A</v>
      </c>
      <c r="T141" s="14" t="e">
        <f t="shared" si="122"/>
        <v>#N/A</v>
      </c>
      <c r="U141" s="22" t="e">
        <f t="shared" si="123"/>
        <v>#DIV/0!</v>
      </c>
      <c r="V141" s="22" t="str">
        <f t="shared" si="124"/>
        <v/>
      </c>
      <c r="W141" s="22" t="str">
        <f t="shared" si="125"/>
        <v/>
      </c>
      <c r="X141" s="22" t="e">
        <f t="shared" si="126"/>
        <v>#DIV/0!</v>
      </c>
      <c r="Y141" s="22" t="str">
        <f t="shared" si="127"/>
        <v/>
      </c>
      <c r="Z141" s="22" t="str">
        <f t="shared" si="128"/>
        <v/>
      </c>
      <c r="AA141" s="2">
        <f t="shared" si="129"/>
        <v>0</v>
      </c>
      <c r="AB141" s="2" t="str">
        <f t="shared" si="130"/>
        <v/>
      </c>
      <c r="AC141" s="2" t="str">
        <f t="shared" si="131"/>
        <v/>
      </c>
      <c r="AD141" s="52" t="str">
        <f t="shared" si="132"/>
        <v/>
      </c>
      <c r="AE141" s="52" t="str">
        <f t="shared" si="133"/>
        <v/>
      </c>
      <c r="AF141" s="52" t="str">
        <f t="shared" si="134"/>
        <v/>
      </c>
      <c r="AG141" s="52" t="str">
        <f t="shared" si="135"/>
        <v/>
      </c>
      <c r="AH141" s="52" t="str">
        <f t="shared" si="136"/>
        <v/>
      </c>
      <c r="AI141" s="52" t="str">
        <f t="shared" si="137"/>
        <v/>
      </c>
      <c r="AJ141" s="56" t="str">
        <f t="shared" si="138"/>
        <v/>
      </c>
      <c r="AK141" s="56" t="str">
        <f t="shared" si="139"/>
        <v/>
      </c>
      <c r="AL141" s="56" t="str">
        <f t="shared" si="140"/>
        <v/>
      </c>
      <c r="AM141" s="56" t="str">
        <f t="shared" si="141"/>
        <v/>
      </c>
      <c r="AX141" s="24"/>
    </row>
    <row r="142" spans="12:50">
      <c r="L142" s="63">
        <f t="shared" si="114"/>
        <v>0</v>
      </c>
      <c r="M142" s="15" t="e">
        <f t="shared" si="115"/>
        <v>#DIV/0!</v>
      </c>
      <c r="N142" s="15" t="e">
        <f t="shared" si="116"/>
        <v>#DIV/0!</v>
      </c>
      <c r="O142" s="15" t="e">
        <f t="shared" si="117"/>
        <v>#DIV/0!</v>
      </c>
      <c r="P142" s="15" t="e">
        <f t="shared" si="118"/>
        <v>#DIV/0!</v>
      </c>
      <c r="Q142" s="16" t="e">
        <f t="shared" si="119"/>
        <v>#DIV/0!</v>
      </c>
      <c r="R142" s="16" t="e">
        <f t="shared" si="120"/>
        <v>#DIV/0!</v>
      </c>
      <c r="S142" s="14" t="e">
        <f t="shared" si="121"/>
        <v>#N/A</v>
      </c>
      <c r="T142" s="14" t="e">
        <f t="shared" si="122"/>
        <v>#N/A</v>
      </c>
      <c r="U142" s="22" t="e">
        <f t="shared" si="123"/>
        <v>#DIV/0!</v>
      </c>
      <c r="V142" s="22" t="str">
        <f t="shared" si="124"/>
        <v/>
      </c>
      <c r="W142" s="22" t="str">
        <f t="shared" si="125"/>
        <v/>
      </c>
      <c r="X142" s="22" t="e">
        <f t="shared" si="126"/>
        <v>#DIV/0!</v>
      </c>
      <c r="Y142" s="22" t="str">
        <f t="shared" si="127"/>
        <v/>
      </c>
      <c r="Z142" s="22" t="str">
        <f t="shared" si="128"/>
        <v/>
      </c>
      <c r="AA142" s="2">
        <f t="shared" si="129"/>
        <v>0</v>
      </c>
      <c r="AB142" s="2" t="str">
        <f t="shared" si="130"/>
        <v/>
      </c>
      <c r="AC142" s="2" t="str">
        <f t="shared" si="131"/>
        <v/>
      </c>
      <c r="AD142" s="52" t="str">
        <f t="shared" si="132"/>
        <v/>
      </c>
      <c r="AE142" s="52" t="str">
        <f t="shared" si="133"/>
        <v/>
      </c>
      <c r="AF142" s="52" t="str">
        <f t="shared" si="134"/>
        <v/>
      </c>
      <c r="AG142" s="52" t="str">
        <f t="shared" si="135"/>
        <v/>
      </c>
      <c r="AH142" s="52" t="str">
        <f t="shared" si="136"/>
        <v/>
      </c>
      <c r="AI142" s="52" t="str">
        <f t="shared" si="137"/>
        <v/>
      </c>
      <c r="AJ142" s="56" t="str">
        <f t="shared" si="138"/>
        <v/>
      </c>
      <c r="AK142" s="56" t="str">
        <f t="shared" si="139"/>
        <v/>
      </c>
      <c r="AL142" s="56" t="str">
        <f t="shared" si="140"/>
        <v/>
      </c>
      <c r="AM142" s="56" t="str">
        <f t="shared" si="141"/>
        <v/>
      </c>
      <c r="AX142" s="24"/>
    </row>
    <row r="143" spans="12:50">
      <c r="L143" s="63">
        <f t="shared" si="114"/>
        <v>0</v>
      </c>
      <c r="M143" s="15" t="e">
        <f t="shared" si="115"/>
        <v>#DIV/0!</v>
      </c>
      <c r="N143" s="15" t="e">
        <f t="shared" si="116"/>
        <v>#DIV/0!</v>
      </c>
      <c r="O143" s="15" t="e">
        <f t="shared" si="117"/>
        <v>#DIV/0!</v>
      </c>
      <c r="P143" s="15" t="e">
        <f t="shared" si="118"/>
        <v>#DIV/0!</v>
      </c>
      <c r="Q143" s="16" t="e">
        <f t="shared" si="119"/>
        <v>#DIV/0!</v>
      </c>
      <c r="R143" s="16" t="e">
        <f t="shared" si="120"/>
        <v>#DIV/0!</v>
      </c>
      <c r="S143" s="14" t="e">
        <f t="shared" si="121"/>
        <v>#N/A</v>
      </c>
      <c r="T143" s="14" t="e">
        <f t="shared" si="122"/>
        <v>#N/A</v>
      </c>
      <c r="U143" s="22" t="e">
        <f t="shared" si="123"/>
        <v>#DIV/0!</v>
      </c>
      <c r="V143" s="22" t="str">
        <f t="shared" si="124"/>
        <v/>
      </c>
      <c r="W143" s="22" t="str">
        <f t="shared" si="125"/>
        <v/>
      </c>
      <c r="X143" s="22" t="e">
        <f t="shared" si="126"/>
        <v>#DIV/0!</v>
      </c>
      <c r="Y143" s="22" t="str">
        <f t="shared" si="127"/>
        <v/>
      </c>
      <c r="Z143" s="22" t="str">
        <f t="shared" si="128"/>
        <v/>
      </c>
      <c r="AA143" s="2">
        <f t="shared" si="129"/>
        <v>0</v>
      </c>
      <c r="AB143" s="2" t="str">
        <f t="shared" si="130"/>
        <v/>
      </c>
      <c r="AC143" s="2" t="str">
        <f t="shared" si="131"/>
        <v/>
      </c>
      <c r="AD143" s="52" t="str">
        <f t="shared" si="132"/>
        <v/>
      </c>
      <c r="AE143" s="52" t="str">
        <f t="shared" si="133"/>
        <v/>
      </c>
      <c r="AF143" s="52" t="str">
        <f t="shared" si="134"/>
        <v/>
      </c>
      <c r="AG143" s="52" t="str">
        <f t="shared" si="135"/>
        <v/>
      </c>
      <c r="AH143" s="52" t="str">
        <f t="shared" si="136"/>
        <v/>
      </c>
      <c r="AI143" s="52" t="str">
        <f t="shared" si="137"/>
        <v/>
      </c>
      <c r="AJ143" s="56" t="str">
        <f t="shared" si="138"/>
        <v/>
      </c>
      <c r="AK143" s="56" t="str">
        <f t="shared" si="139"/>
        <v/>
      </c>
      <c r="AL143" s="56" t="str">
        <f t="shared" si="140"/>
        <v/>
      </c>
      <c r="AM143" s="56" t="str">
        <f t="shared" si="141"/>
        <v/>
      </c>
      <c r="AX143" s="24"/>
    </row>
    <row r="144" spans="12:50">
      <c r="L144" s="63">
        <f t="shared" si="114"/>
        <v>0</v>
      </c>
      <c r="M144" s="15" t="e">
        <f t="shared" si="115"/>
        <v>#DIV/0!</v>
      </c>
      <c r="N144" s="15" t="e">
        <f t="shared" si="116"/>
        <v>#DIV/0!</v>
      </c>
      <c r="O144" s="15" t="e">
        <f t="shared" si="117"/>
        <v>#DIV/0!</v>
      </c>
      <c r="P144" s="15" t="e">
        <f t="shared" si="118"/>
        <v>#DIV/0!</v>
      </c>
      <c r="Q144" s="16" t="e">
        <f t="shared" si="119"/>
        <v>#DIV/0!</v>
      </c>
      <c r="R144" s="16" t="e">
        <f t="shared" si="120"/>
        <v>#DIV/0!</v>
      </c>
      <c r="S144" s="14" t="e">
        <f t="shared" si="121"/>
        <v>#N/A</v>
      </c>
      <c r="T144" s="14" t="e">
        <f t="shared" si="122"/>
        <v>#N/A</v>
      </c>
      <c r="U144" s="22" t="e">
        <f t="shared" si="123"/>
        <v>#DIV/0!</v>
      </c>
      <c r="V144" s="22" t="str">
        <f t="shared" si="124"/>
        <v/>
      </c>
      <c r="W144" s="22" t="str">
        <f t="shared" si="125"/>
        <v/>
      </c>
      <c r="X144" s="22" t="e">
        <f t="shared" si="126"/>
        <v>#DIV/0!</v>
      </c>
      <c r="Y144" s="22" t="str">
        <f t="shared" si="127"/>
        <v/>
      </c>
      <c r="Z144" s="22" t="str">
        <f t="shared" si="128"/>
        <v/>
      </c>
      <c r="AA144" s="2">
        <f t="shared" si="129"/>
        <v>0</v>
      </c>
      <c r="AB144" s="2" t="str">
        <f t="shared" si="130"/>
        <v/>
      </c>
      <c r="AC144" s="2" t="str">
        <f t="shared" si="131"/>
        <v/>
      </c>
      <c r="AD144" s="52" t="str">
        <f t="shared" si="132"/>
        <v/>
      </c>
      <c r="AE144" s="52" t="str">
        <f t="shared" si="133"/>
        <v/>
      </c>
      <c r="AF144" s="52" t="str">
        <f t="shared" si="134"/>
        <v/>
      </c>
      <c r="AG144" s="52" t="str">
        <f t="shared" si="135"/>
        <v/>
      </c>
      <c r="AH144" s="52" t="str">
        <f t="shared" si="136"/>
        <v/>
      </c>
      <c r="AI144" s="52" t="str">
        <f t="shared" si="137"/>
        <v/>
      </c>
      <c r="AJ144" s="56" t="str">
        <f t="shared" si="138"/>
        <v/>
      </c>
      <c r="AK144" s="56" t="str">
        <f t="shared" si="139"/>
        <v/>
      </c>
      <c r="AL144" s="56" t="str">
        <f t="shared" si="140"/>
        <v/>
      </c>
      <c r="AM144" s="56" t="str">
        <f t="shared" si="141"/>
        <v/>
      </c>
      <c r="AX144" s="24"/>
    </row>
    <row r="145" spans="50:50">
      <c r="AX145" s="24"/>
    </row>
    <row r="146" spans="50:50">
      <c r="AX146" s="24"/>
    </row>
    <row r="147" spans="50:50">
      <c r="AX147" s="24"/>
    </row>
    <row r="148" spans="50:50">
      <c r="AX148" s="24"/>
    </row>
    <row r="149" spans="50:50">
      <c r="AX149" s="24"/>
    </row>
    <row r="150" spans="50:50">
      <c r="AX150" s="24"/>
    </row>
    <row r="151" spans="50:50">
      <c r="AX151" s="24"/>
    </row>
    <row r="152" spans="50:50">
      <c r="AX152" s="24"/>
    </row>
    <row r="153" spans="50:50">
      <c r="AX153" s="24"/>
    </row>
    <row r="154" spans="50:50">
      <c r="AX154" s="24"/>
    </row>
    <row r="155" spans="50:50">
      <c r="AX155" s="24"/>
    </row>
    <row r="156" spans="50:50">
      <c r="AX156" s="24"/>
    </row>
    <row r="157" spans="50:50">
      <c r="AX157" s="24"/>
    </row>
    <row r="158" spans="50:50">
      <c r="AX158" s="24"/>
    </row>
    <row r="159" spans="50:50">
      <c r="AX159" s="24"/>
    </row>
    <row r="160" spans="50:50">
      <c r="AX160" s="24"/>
    </row>
    <row r="161" spans="50:50">
      <c r="AX161" s="24"/>
    </row>
    <row r="162" spans="50:50">
      <c r="AX162" s="24"/>
    </row>
    <row r="163" spans="50:50">
      <c r="AX163" s="24"/>
    </row>
    <row r="164" spans="50:50">
      <c r="AX164" s="24"/>
    </row>
    <row r="165" spans="50:50">
      <c r="AX165" s="24"/>
    </row>
    <row r="166" spans="50:50">
      <c r="AX166" s="24"/>
    </row>
    <row r="167" spans="50:50">
      <c r="AX167" s="24"/>
    </row>
    <row r="168" spans="50:50">
      <c r="AX168" s="24"/>
    </row>
    <row r="169" spans="50:50">
      <c r="AX169" s="24"/>
    </row>
    <row r="170" spans="50:50">
      <c r="AX170" s="24"/>
    </row>
    <row r="171" spans="50:50">
      <c r="AX171" s="24"/>
    </row>
    <row r="172" spans="50:50">
      <c r="AX172" s="24"/>
    </row>
    <row r="173" spans="50:50">
      <c r="AX173" s="24"/>
    </row>
    <row r="174" spans="50:50">
      <c r="AX174" s="24"/>
    </row>
    <row r="175" spans="50:50">
      <c r="AX175" s="24"/>
    </row>
    <row r="176" spans="50:50">
      <c r="AX176" s="24"/>
    </row>
    <row r="177" spans="50:50">
      <c r="AX177" s="24"/>
    </row>
    <row r="178" spans="50:50">
      <c r="AX178" s="24"/>
    </row>
    <row r="179" spans="50:50">
      <c r="AX179" s="24"/>
    </row>
    <row r="180" spans="50:50">
      <c r="AX180" s="24"/>
    </row>
    <row r="181" spans="50:50">
      <c r="AX181" s="24"/>
    </row>
    <row r="182" spans="50:50">
      <c r="AX182" s="24"/>
    </row>
    <row r="183" spans="50:50">
      <c r="AX183" s="24"/>
    </row>
    <row r="184" spans="50:50">
      <c r="AX184" s="24"/>
    </row>
    <row r="185" spans="50:50">
      <c r="AX185" s="24"/>
    </row>
    <row r="186" spans="50:50">
      <c r="AX186" s="24"/>
    </row>
    <row r="187" spans="50:50">
      <c r="AX187" s="24"/>
    </row>
    <row r="188" spans="50:50">
      <c r="AX188" s="24"/>
    </row>
    <row r="189" spans="50:50">
      <c r="AX189" s="24"/>
    </row>
    <row r="190" spans="50:50">
      <c r="AX190" s="24"/>
    </row>
    <row r="191" spans="50:50">
      <c r="AX191" s="24"/>
    </row>
    <row r="192" spans="50:50">
      <c r="AX192" s="24"/>
    </row>
    <row r="193" spans="50:50">
      <c r="AX193" s="24"/>
    </row>
    <row r="194" spans="50:50">
      <c r="AX194" s="24"/>
    </row>
    <row r="195" spans="50:50">
      <c r="AX195" s="24"/>
    </row>
    <row r="196" spans="50:50">
      <c r="AX196" s="24"/>
    </row>
    <row r="197" spans="50:50">
      <c r="AX197" s="24"/>
    </row>
    <row r="198" spans="50:50">
      <c r="AX198" s="24"/>
    </row>
    <row r="199" spans="50:50">
      <c r="AX199" s="24"/>
    </row>
    <row r="200" spans="50:50">
      <c r="AX200" s="2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8"/>
  <sheetViews>
    <sheetView workbookViewId="0">
      <selection activeCell="J18" sqref="J18"/>
    </sheetView>
  </sheetViews>
  <sheetFormatPr defaultRowHeight="14.4"/>
  <sheetData>
    <row r="1" spans="1:23">
      <c r="A1" s="51"/>
      <c r="B1" s="52" t="str">
        <f>data!AO8</f>
        <v>5 H-CH T centroid</v>
      </c>
      <c r="C1" s="52" t="str">
        <f>data!AP8</f>
        <v>6 H-CH centroid</v>
      </c>
      <c r="F1">
        <v>5</v>
      </c>
      <c r="G1" t="s">
        <v>201</v>
      </c>
      <c r="H1" t="s">
        <v>200</v>
      </c>
      <c r="I1">
        <v>6</v>
      </c>
      <c r="J1" t="s">
        <v>198</v>
      </c>
      <c r="K1" t="s">
        <v>199</v>
      </c>
    </row>
    <row r="2" spans="1:23">
      <c r="A2" s="51" t="s">
        <v>196</v>
      </c>
      <c r="B2" s="52">
        <f>data!AO9</f>
        <v>0.53635322982214984</v>
      </c>
      <c r="C2" s="52">
        <f>data!AP9</f>
        <v>0.62048675235798401</v>
      </c>
      <c r="E2" t="s">
        <v>193</v>
      </c>
      <c r="F2" s="23">
        <f>B4</f>
        <v>0.20899374032975995</v>
      </c>
      <c r="I2" s="2">
        <f>C4</f>
        <v>0.2265035731157386</v>
      </c>
    </row>
    <row r="3" spans="1:23">
      <c r="A3" s="51" t="s">
        <v>197</v>
      </c>
      <c r="B3" s="52">
        <f>data!AO10</f>
        <v>0.44611534147693993</v>
      </c>
      <c r="C3" s="52">
        <f>data!AP10</f>
        <v>0.7004617663937085</v>
      </c>
      <c r="E3" t="s">
        <v>194</v>
      </c>
      <c r="F3" s="2">
        <f>B2</f>
        <v>0.53635322982214984</v>
      </c>
      <c r="I3" s="2">
        <f>C2</f>
        <v>0.62048675235798401</v>
      </c>
    </row>
    <row r="4" spans="1:23">
      <c r="A4" s="51" t="str">
        <f>data!AN11</f>
        <v>avrg dist</v>
      </c>
      <c r="B4" s="52">
        <f>data!AO11</f>
        <v>0.20899374032975995</v>
      </c>
      <c r="C4" s="52">
        <f>data!AP11</f>
        <v>0.2265035731157386</v>
      </c>
      <c r="E4" t="s">
        <v>195</v>
      </c>
      <c r="F4" s="2">
        <f>B3</f>
        <v>0.44611534147693993</v>
      </c>
      <c r="I4" s="2">
        <f>C3</f>
        <v>0.7004617663937085</v>
      </c>
    </row>
    <row r="7" spans="1:23">
      <c r="A7" t="s">
        <v>202</v>
      </c>
      <c r="B7" t="s">
        <v>203</v>
      </c>
      <c r="C7" t="s">
        <v>204</v>
      </c>
      <c r="E7" t="s">
        <v>202</v>
      </c>
      <c r="F7" t="s">
        <v>203</v>
      </c>
      <c r="G7" t="s">
        <v>204</v>
      </c>
      <c r="I7" t="s">
        <v>202</v>
      </c>
      <c r="J7" t="s">
        <v>203</v>
      </c>
      <c r="K7" t="s">
        <v>204</v>
      </c>
      <c r="M7" t="s">
        <v>202</v>
      </c>
      <c r="N7" t="s">
        <v>203</v>
      </c>
      <c r="O7" t="s">
        <v>204</v>
      </c>
      <c r="Q7" t="s">
        <v>202</v>
      </c>
      <c r="R7" t="s">
        <v>203</v>
      </c>
      <c r="S7" t="s">
        <v>204</v>
      </c>
      <c r="U7" t="s">
        <v>202</v>
      </c>
      <c r="V7" t="s">
        <v>203</v>
      </c>
      <c r="W7" t="s">
        <v>204</v>
      </c>
    </row>
    <row r="8" spans="1:23">
      <c r="A8">
        <v>0</v>
      </c>
      <c r="B8" s="54">
        <f>$F$2*COS(A8*PI()/180)+$F$3</f>
        <v>0.74534697015190976</v>
      </c>
      <c r="C8" s="54">
        <f>$F$2*SIN(A8*PI()/180)+$F$4</f>
        <v>0.44611534147693993</v>
      </c>
      <c r="E8">
        <v>0</v>
      </c>
      <c r="F8" s="54">
        <f>$I$2*COS(E8*PI()/180)+$I$3</f>
        <v>0.84699032547372255</v>
      </c>
      <c r="G8" s="54">
        <f>$I$2*SIN(E8*PI()/180)+$I$4</f>
        <v>0.7004617663937085</v>
      </c>
      <c r="I8">
        <v>0</v>
      </c>
      <c r="M8">
        <v>0</v>
      </c>
      <c r="Q8">
        <v>0</v>
      </c>
      <c r="U8">
        <v>0</v>
      </c>
    </row>
    <row r="9" spans="1:23">
      <c r="A9">
        <f>A8+2</f>
        <v>2</v>
      </c>
      <c r="B9" s="54">
        <f t="shared" ref="B9:B72" si="0">$F$2*COS(A9*PI()/180)+$F$3</f>
        <v>0.74521965681212277</v>
      </c>
      <c r="C9" s="54">
        <f t="shared" ref="C9:C72" si="1">$F$2*SIN(A9*PI()/180)+$F$4</f>
        <v>0.45340911782842175</v>
      </c>
      <c r="E9">
        <f>E8+2</f>
        <v>2</v>
      </c>
      <c r="F9" s="54">
        <f t="shared" ref="F9:F72" si="2">$I$2*COS(E9*PI()/180)+$I$3</f>
        <v>0.84685234561690226</v>
      </c>
      <c r="G9" s="54">
        <f t="shared" ref="G9:G18" si="3">$I$2*SIN(E9*PI()/180)+$I$4</f>
        <v>0.7083666270967659</v>
      </c>
      <c r="I9">
        <f>I8+2</f>
        <v>2</v>
      </c>
      <c r="M9">
        <f>M8+2</f>
        <v>2</v>
      </c>
      <c r="Q9">
        <f>Q8+2</f>
        <v>2</v>
      </c>
      <c r="U9">
        <f>U8+2</f>
        <v>2</v>
      </c>
    </row>
    <row r="10" spans="1:23">
      <c r="A10">
        <f t="shared" ref="A10:A73" si="4">A9+2</f>
        <v>4</v>
      </c>
      <c r="B10" s="54">
        <f t="shared" si="0"/>
        <v>0.74483787190445516</v>
      </c>
      <c r="C10" s="54">
        <f t="shared" si="1"/>
        <v>0.46069400783693937</v>
      </c>
      <c r="E10">
        <f t="shared" ref="E10:E73" si="5">E9+2</f>
        <v>4</v>
      </c>
      <c r="F10" s="54">
        <f t="shared" si="2"/>
        <v>0.84643857415364243</v>
      </c>
      <c r="G10" s="54">
        <f t="shared" si="3"/>
        <v>0.71626185694470712</v>
      </c>
      <c r="I10">
        <f t="shared" ref="I10:I73" si="6">I9+2</f>
        <v>4</v>
      </c>
      <c r="M10">
        <f t="shared" ref="M10:M73" si="7">M9+2</f>
        <v>4</v>
      </c>
      <c r="Q10">
        <f t="shared" ref="Q10:Q73" si="8">Q9+2</f>
        <v>4</v>
      </c>
      <c r="U10">
        <f t="shared" ref="U10:U73" si="9">U9+2</f>
        <v>4</v>
      </c>
    </row>
    <row r="11" spans="1:23">
      <c r="A11">
        <f t="shared" si="4"/>
        <v>6</v>
      </c>
      <c r="B11" s="54">
        <f t="shared" si="0"/>
        <v>0.74420208057500747</v>
      </c>
      <c r="C11" s="54">
        <f t="shared" si="1"/>
        <v>0.46796113598616873</v>
      </c>
      <c r="E11">
        <f t="shared" si="5"/>
        <v>6</v>
      </c>
      <c r="F11" s="54">
        <f t="shared" si="2"/>
        <v>0.8457495152007346</v>
      </c>
      <c r="G11" s="54">
        <f t="shared" si="3"/>
        <v>0.7241378368161292</v>
      </c>
      <c r="I11">
        <f t="shared" si="6"/>
        <v>6</v>
      </c>
      <c r="M11">
        <f t="shared" si="7"/>
        <v>6</v>
      </c>
      <c r="Q11">
        <f t="shared" si="8"/>
        <v>6</v>
      </c>
      <c r="U11">
        <f t="shared" si="9"/>
        <v>6</v>
      </c>
    </row>
    <row r="12" spans="1:23">
      <c r="A12">
        <f t="shared" si="4"/>
        <v>8</v>
      </c>
      <c r="B12" s="54">
        <f t="shared" si="0"/>
        <v>0.74331305743757847</v>
      </c>
      <c r="C12" s="54">
        <f t="shared" si="1"/>
        <v>0.47520164839987533</v>
      </c>
      <c r="E12">
        <f t="shared" si="5"/>
        <v>8</v>
      </c>
      <c r="F12" s="54">
        <f t="shared" si="2"/>
        <v>0.84478600827037154</v>
      </c>
      <c r="G12" s="54">
        <f t="shared" si="3"/>
        <v>0.73198497104276072</v>
      </c>
      <c r="I12">
        <f t="shared" si="6"/>
        <v>8</v>
      </c>
      <c r="M12">
        <f t="shared" si="7"/>
        <v>8</v>
      </c>
      <c r="Q12">
        <f t="shared" si="8"/>
        <v>8</v>
      </c>
      <c r="U12">
        <f t="shared" si="9"/>
        <v>8</v>
      </c>
    </row>
    <row r="13" spans="1:23">
      <c r="A13">
        <f t="shared" si="4"/>
        <v>10</v>
      </c>
      <c r="B13" s="54">
        <f t="shared" si="0"/>
        <v>0.74217188562991765</v>
      </c>
      <c r="C13" s="54">
        <f t="shared" si="1"/>
        <v>0.48240672362899839</v>
      </c>
      <c r="E13">
        <f t="shared" si="5"/>
        <v>10</v>
      </c>
      <c r="F13" s="54">
        <f t="shared" si="2"/>
        <v>0.84354922724733095</v>
      </c>
      <c r="G13" s="54">
        <f t="shared" si="3"/>
        <v>0.73979369910030479</v>
      </c>
      <c r="I13">
        <f t="shared" si="6"/>
        <v>10</v>
      </c>
      <c r="M13">
        <f t="shared" si="7"/>
        <v>10</v>
      </c>
      <c r="Q13">
        <f t="shared" si="8"/>
        <v>10</v>
      </c>
      <c r="U13">
        <f t="shared" si="9"/>
        <v>10</v>
      </c>
    </row>
    <row r="14" spans="1:23">
      <c r="A14">
        <f t="shared" si="4"/>
        <v>12</v>
      </c>
      <c r="B14" s="54">
        <f t="shared" si="0"/>
        <v>0.74077995549408859</v>
      </c>
      <c r="C14" s="54">
        <f t="shared" si="1"/>
        <v>0.48956758339922807</v>
      </c>
      <c r="E14">
        <f t="shared" si="5"/>
        <v>12</v>
      </c>
      <c r="F14" s="54">
        <f t="shared" si="2"/>
        <v>0.84204067895877788</v>
      </c>
      <c r="G14" s="54">
        <f t="shared" si="3"/>
        <v>0.74755450725646566</v>
      </c>
      <c r="I14">
        <f t="shared" si="6"/>
        <v>12</v>
      </c>
      <c r="M14">
        <f t="shared" si="7"/>
        <v>12</v>
      </c>
      <c r="Q14">
        <f t="shared" si="8"/>
        <v>12</v>
      </c>
      <c r="U14">
        <f t="shared" si="9"/>
        <v>12</v>
      </c>
    </row>
    <row r="15" spans="1:23">
      <c r="A15">
        <f t="shared" si="4"/>
        <v>14</v>
      </c>
      <c r="B15" s="54">
        <f t="shared" si="0"/>
        <v>0.73913896288255132</v>
      </c>
      <c r="C15" s="54">
        <f t="shared" si="1"/>
        <v>0.4966755033059802</v>
      </c>
      <c r="E15">
        <f t="shared" si="5"/>
        <v>14</v>
      </c>
      <c r="F15" s="54">
        <f t="shared" si="2"/>
        <v>0.84026220133842788</v>
      </c>
      <c r="G15" s="54">
        <f t="shared" si="3"/>
        <v>0.7552579401619659</v>
      </c>
      <c r="I15">
        <f t="shared" si="6"/>
        <v>14</v>
      </c>
      <c r="M15">
        <f t="shared" si="7"/>
        <v>14</v>
      </c>
      <c r="Q15">
        <f t="shared" si="8"/>
        <v>14</v>
      </c>
      <c r="U15">
        <f t="shared" si="9"/>
        <v>14</v>
      </c>
    </row>
    <row r="16" spans="1:23">
      <c r="A16">
        <f t="shared" si="4"/>
        <v>16</v>
      </c>
      <c r="B16" s="54">
        <f t="shared" si="0"/>
        <v>0.73725090709202756</v>
      </c>
      <c r="C16" s="54">
        <f t="shared" si="1"/>
        <v>0.5037218234437395</v>
      </c>
      <c r="E16">
        <f t="shared" si="5"/>
        <v>16</v>
      </c>
      <c r="F16" s="54">
        <f t="shared" si="2"/>
        <v>0.8382159611873079</v>
      </c>
      <c r="G16" s="54">
        <f t="shared" si="3"/>
        <v>0.76289461237043299</v>
      </c>
      <c r="I16">
        <f t="shared" si="6"/>
        <v>16</v>
      </c>
      <c r="M16">
        <f t="shared" si="7"/>
        <v>16</v>
      </c>
      <c r="Q16">
        <f t="shared" si="8"/>
        <v>16</v>
      </c>
      <c r="U16">
        <f t="shared" si="9"/>
        <v>16</v>
      </c>
    </row>
    <row r="17" spans="1:21">
      <c r="A17">
        <f t="shared" si="4"/>
        <v>18</v>
      </c>
      <c r="B17" s="54">
        <f t="shared" si="0"/>
        <v>0.73511808842766524</v>
      </c>
      <c r="C17" s="54">
        <f t="shared" si="1"/>
        <v>0.51069795895682057</v>
      </c>
      <c r="E17">
        <f t="shared" si="5"/>
        <v>18</v>
      </c>
      <c r="F17" s="54">
        <f t="shared" si="2"/>
        <v>0.83590445153384296</v>
      </c>
      <c r="G17" s="54">
        <f t="shared" si="3"/>
        <v>0.77045521977312015</v>
      </c>
      <c r="I17">
        <f t="shared" si="6"/>
        <v>18</v>
      </c>
      <c r="M17">
        <f t="shared" si="7"/>
        <v>18</v>
      </c>
      <c r="Q17">
        <f t="shared" si="8"/>
        <v>18</v>
      </c>
      <c r="U17">
        <f t="shared" si="9"/>
        <v>18</v>
      </c>
    </row>
    <row r="18" spans="1:21">
      <c r="A18">
        <f t="shared" si="4"/>
        <v>20</v>
      </c>
      <c r="B18" s="54">
        <f t="shared" si="0"/>
        <v>0.73274310540047161</v>
      </c>
      <c r="C18" s="54">
        <f t="shared" si="1"/>
        <v>0.51759541049869207</v>
      </c>
      <c r="E18">
        <f t="shared" si="5"/>
        <v>20</v>
      </c>
      <c r="F18" s="54">
        <f t="shared" si="2"/>
        <v>0.83333048859648506</v>
      </c>
      <c r="G18" s="54">
        <f t="shared" si="3"/>
        <v>0.77793055093452945</v>
      </c>
      <c r="I18">
        <f t="shared" si="6"/>
        <v>20</v>
      </c>
      <c r="M18">
        <f t="shared" si="7"/>
        <v>20</v>
      </c>
      <c r="Q18">
        <f t="shared" si="8"/>
        <v>20</v>
      </c>
      <c r="U18">
        <f t="shared" si="9"/>
        <v>20</v>
      </c>
    </row>
    <row r="19" spans="1:21">
      <c r="A19">
        <f t="shared" si="4"/>
        <v>22</v>
      </c>
      <c r="B19" s="54">
        <f t="shared" si="0"/>
        <v>0.73012885156142693</v>
      </c>
      <c r="C19" s="54">
        <f t="shared" si="1"/>
        <v>0.52440577458712101</v>
      </c>
      <c r="E19">
        <f t="shared" si="5"/>
        <v>22</v>
      </c>
      <c r="F19" s="54">
        <f t="shared" si="2"/>
        <v>0.83049720835258467</v>
      </c>
      <c r="G19" s="54">
        <f t="shared" ref="G19:G82" si="10">$I$2*SIN(E19*PI()/180)+$I$4</f>
        <v>0.78531149831512725</v>
      </c>
      <c r="I19">
        <f t="shared" si="6"/>
        <v>22</v>
      </c>
      <c r="M19">
        <f t="shared" si="7"/>
        <v>22</v>
      </c>
      <c r="Q19">
        <f t="shared" si="8"/>
        <v>22</v>
      </c>
      <c r="U19">
        <f t="shared" si="9"/>
        <v>22</v>
      </c>
    </row>
    <row r="20" spans="1:21">
      <c r="A20">
        <f t="shared" si="4"/>
        <v>24</v>
      </c>
      <c r="B20" s="54">
        <f t="shared" si="0"/>
        <v>0.72727851197613924</v>
      </c>
      <c r="C20" s="54">
        <f t="shared" si="1"/>
        <v>0.531120753842522</v>
      </c>
      <c r="E20">
        <f t="shared" si="5"/>
        <v>24</v>
      </c>
      <c r="F20" s="54">
        <f t="shared" si="2"/>
        <v>0.82740806271768574</v>
      </c>
      <c r="G20" s="54">
        <f t="shared" si="10"/>
        <v>0.79258906936747808</v>
      </c>
      <c r="I20">
        <f t="shared" si="6"/>
        <v>24</v>
      </c>
      <c r="M20">
        <f t="shared" si="7"/>
        <v>24</v>
      </c>
      <c r="Q20">
        <f t="shared" si="8"/>
        <v>24</v>
      </c>
      <c r="U20">
        <f t="shared" si="9"/>
        <v>24</v>
      </c>
    </row>
    <row r="21" spans="1:21">
      <c r="A21">
        <f t="shared" si="4"/>
        <v>26</v>
      </c>
      <c r="B21" s="54">
        <f t="shared" si="0"/>
        <v>0.72419555934433222</v>
      </c>
      <c r="C21" s="54">
        <f t="shared" si="1"/>
        <v>0.53773216709703542</v>
      </c>
      <c r="E21">
        <f t="shared" si="5"/>
        <v>26</v>
      </c>
      <c r="F21" s="54">
        <f t="shared" si="2"/>
        <v>0.8240668153398979</v>
      </c>
      <c r="G21" s="54">
        <f t="shared" si="10"/>
        <v>0.7997543974922785</v>
      </c>
      <c r="I21">
        <f t="shared" si="6"/>
        <v>26</v>
      </c>
      <c r="M21">
        <f t="shared" si="7"/>
        <v>26</v>
      </c>
      <c r="Q21">
        <f t="shared" si="8"/>
        <v>26</v>
      </c>
      <c r="U21">
        <f t="shared" si="9"/>
        <v>26</v>
      </c>
    </row>
    <row r="22" spans="1:21">
      <c r="A22">
        <f t="shared" si="4"/>
        <v>28</v>
      </c>
      <c r="B22" s="54">
        <f t="shared" si="0"/>
        <v>0.72088374976889502</v>
      </c>
      <c r="C22" s="54">
        <f t="shared" si="1"/>
        <v>0.54423195936202096</v>
      </c>
      <c r="E22">
        <f t="shared" si="5"/>
        <v>28</v>
      </c>
      <c r="F22" s="54">
        <f t="shared" si="2"/>
        <v>0.82047753701447135</v>
      </c>
      <c r="G22" s="54">
        <f t="shared" si="10"/>
        <v>0.8067987528409426</v>
      </c>
      <c r="I22">
        <f t="shared" si="6"/>
        <v>28</v>
      </c>
      <c r="M22">
        <f t="shared" si="7"/>
        <v>28</v>
      </c>
      <c r="Q22">
        <f t="shared" si="8"/>
        <v>28</v>
      </c>
      <c r="U22">
        <f t="shared" si="9"/>
        <v>28</v>
      </c>
    </row>
    <row r="23" spans="1:21">
      <c r="A23">
        <f t="shared" si="4"/>
        <v>30</v>
      </c>
      <c r="B23" s="54">
        <f t="shared" si="0"/>
        <v>0.71734711817965036</v>
      </c>
      <c r="C23" s="54">
        <f t="shared" si="1"/>
        <v>0.55061221164181995</v>
      </c>
      <c r="E23">
        <f t="shared" si="5"/>
        <v>30</v>
      </c>
      <c r="F23" s="54">
        <f t="shared" si="2"/>
        <v>0.81664460072415967</v>
      </c>
      <c r="G23" s="54">
        <f t="shared" si="10"/>
        <v>0.81371355295157777</v>
      </c>
      <c r="I23">
        <f t="shared" si="6"/>
        <v>30</v>
      </c>
      <c r="M23">
        <f t="shared" si="7"/>
        <v>30</v>
      </c>
      <c r="Q23">
        <f t="shared" si="8"/>
        <v>30</v>
      </c>
      <c r="U23">
        <f t="shared" si="9"/>
        <v>30</v>
      </c>
    </row>
    <row r="24" spans="1:21">
      <c r="A24">
        <f t="shared" si="4"/>
        <v>32</v>
      </c>
      <c r="B24" s="54">
        <f t="shared" si="0"/>
        <v>0.71358997341741326</v>
      </c>
      <c r="C24" s="54">
        <f t="shared" si="1"/>
        <v>0.55686515058183184</v>
      </c>
      <c r="E24">
        <f t="shared" si="5"/>
        <v>32</v>
      </c>
      <c r="F24" s="54">
        <f t="shared" si="2"/>
        <v>0.81257267631141394</v>
      </c>
      <c r="G24" s="54">
        <f t="shared" si="10"/>
        <v>0.82049037320539264</v>
      </c>
      <c r="I24">
        <f t="shared" si="6"/>
        <v>32</v>
      </c>
      <c r="M24">
        <f t="shared" si="7"/>
        <v>32</v>
      </c>
      <c r="Q24">
        <f t="shared" si="8"/>
        <v>32</v>
      </c>
      <c r="U24">
        <f t="shared" si="9"/>
        <v>32</v>
      </c>
    </row>
    <row r="25" spans="1:21">
      <c r="A25">
        <f t="shared" si="4"/>
        <v>34</v>
      </c>
      <c r="B25" s="54">
        <f t="shared" si="0"/>
        <v>0.70961689298433273</v>
      </c>
      <c r="C25" s="54">
        <f t="shared" si="1"/>
        <v>0.56298315793914977</v>
      </c>
      <c r="E25">
        <f t="shared" si="5"/>
        <v>34</v>
      </c>
      <c r="F25" s="54">
        <f t="shared" si="2"/>
        <v>0.80826672478889927</v>
      </c>
      <c r="G25" s="54">
        <f t="shared" si="10"/>
        <v>0.82712095709079692</v>
      </c>
      <c r="I25">
        <f t="shared" si="6"/>
        <v>34</v>
      </c>
      <c r="M25">
        <f t="shared" si="7"/>
        <v>34</v>
      </c>
      <c r="Q25">
        <f t="shared" si="8"/>
        <v>34</v>
      </c>
      <c r="U25">
        <f t="shared" si="9"/>
        <v>34</v>
      </c>
    </row>
    <row r="26" spans="1:21">
      <c r="A26">
        <f t="shared" si="4"/>
        <v>36</v>
      </c>
      <c r="B26" s="54">
        <f t="shared" si="0"/>
        <v>0.7054327174669105</v>
      </c>
      <c r="C26" s="54">
        <f t="shared" si="1"/>
        <v>0.5689587798642155</v>
      </c>
      <c r="E26">
        <f t="shared" si="5"/>
        <v>36</v>
      </c>
      <c r="F26" s="54">
        <f t="shared" si="2"/>
        <v>0.80373199229526504</v>
      </c>
      <c r="G26" s="54">
        <f t="shared" si="10"/>
        <v>0.83359722626268951</v>
      </c>
      <c r="I26">
        <f t="shared" si="6"/>
        <v>36</v>
      </c>
      <c r="M26">
        <f t="shared" si="7"/>
        <v>36</v>
      </c>
      <c r="Q26">
        <f t="shared" si="8"/>
        <v>36</v>
      </c>
      <c r="U26">
        <f t="shared" si="9"/>
        <v>36</v>
      </c>
    </row>
    <row r="27" spans="1:21">
      <c r="A27">
        <f t="shared" si="4"/>
        <v>38</v>
      </c>
      <c r="B27" s="54">
        <f t="shared" si="0"/>
        <v>0.70104254463849158</v>
      </c>
      <c r="C27" s="54">
        <f t="shared" si="1"/>
        <v>0.57478473598218749</v>
      </c>
      <c r="E27">
        <f t="shared" si="5"/>
        <v>38</v>
      </c>
      <c r="F27" s="54">
        <f t="shared" si="2"/>
        <v>0.79897400370353244</v>
      </c>
      <c r="G27" s="54">
        <f t="shared" si="10"/>
        <v>0.83991129038467727</v>
      </c>
      <c r="I27">
        <f t="shared" si="6"/>
        <v>38</v>
      </c>
      <c r="M27">
        <f t="shared" si="7"/>
        <v>38</v>
      </c>
      <c r="Q27">
        <f t="shared" si="8"/>
        <v>38</v>
      </c>
      <c r="U27">
        <f t="shared" si="9"/>
        <v>38</v>
      </c>
    </row>
    <row r="28" spans="1:21">
      <c r="A28">
        <f t="shared" si="4"/>
        <v>40</v>
      </c>
      <c r="B28" s="54">
        <f t="shared" si="0"/>
        <v>0.69645172324841309</v>
      </c>
      <c r="C28" s="54">
        <f t="shared" si="1"/>
        <v>0.58045392826295561</v>
      </c>
      <c r="E28">
        <f t="shared" si="5"/>
        <v>40</v>
      </c>
      <c r="F28" s="54">
        <f t="shared" si="2"/>
        <v>0.79399855588988877</v>
      </c>
      <c r="G28" s="54">
        <f t="shared" si="10"/>
        <v>0.84605545674223437</v>
      </c>
      <c r="I28">
        <f t="shared" si="6"/>
        <v>40</v>
      </c>
      <c r="M28">
        <f t="shared" si="7"/>
        <v>40</v>
      </c>
      <c r="Q28">
        <f t="shared" si="8"/>
        <v>40</v>
      </c>
      <c r="U28">
        <f t="shared" si="9"/>
        <v>40</v>
      </c>
    </row>
    <row r="29" spans="1:21">
      <c r="A29">
        <f t="shared" si="4"/>
        <v>42</v>
      </c>
      <c r="B29" s="54">
        <f t="shared" si="0"/>
        <v>0.6916658465053771</v>
      </c>
      <c r="C29" s="54">
        <f t="shared" si="1"/>
        <v>0.58595944966899793</v>
      </c>
      <c r="E29">
        <f t="shared" si="5"/>
        <v>42</v>
      </c>
      <c r="F29" s="54">
        <f t="shared" si="2"/>
        <v>0.7888117106710858</v>
      </c>
      <c r="G29" s="54">
        <f t="shared" si="10"/>
        <v>0.85202223961509072</v>
      </c>
      <c r="I29">
        <f t="shared" si="6"/>
        <v>42</v>
      </c>
      <c r="M29">
        <f t="shared" si="7"/>
        <v>42</v>
      </c>
      <c r="Q29">
        <f t="shared" si="8"/>
        <v>42</v>
      </c>
      <c r="U29">
        <f t="shared" si="9"/>
        <v>42</v>
      </c>
    </row>
    <row r="30" spans="1:21">
      <c r="A30">
        <f t="shared" si="4"/>
        <v>44</v>
      </c>
      <c r="B30" s="54">
        <f t="shared" si="0"/>
        <v>0.68669074526298723</v>
      </c>
      <c r="C30" s="54">
        <f t="shared" si="1"/>
        <v>0.59129459257054173</v>
      </c>
      <c r="E30">
        <f t="shared" si="5"/>
        <v>44</v>
      </c>
      <c r="F30" s="54">
        <f t="shared" si="2"/>
        <v>0.7834197874190505</v>
      </c>
      <c r="G30" s="54">
        <f t="shared" si="10"/>
        <v>0.85780436939742777</v>
      </c>
      <c r="I30">
        <f t="shared" si="6"/>
        <v>44</v>
      </c>
      <c r="M30">
        <f t="shared" si="7"/>
        <v>44</v>
      </c>
      <c r="Q30">
        <f t="shared" si="8"/>
        <v>44</v>
      </c>
      <c r="U30">
        <f t="shared" si="9"/>
        <v>44</v>
      </c>
    </row>
    <row r="31" spans="1:21">
      <c r="A31">
        <f t="shared" si="4"/>
        <v>46</v>
      </c>
      <c r="B31" s="54">
        <f t="shared" si="0"/>
        <v>0.68153248091575169</v>
      </c>
      <c r="C31" s="54">
        <f t="shared" si="1"/>
        <v>0.59645285691777739</v>
      </c>
      <c r="E31">
        <f t="shared" si="5"/>
        <v>46</v>
      </c>
      <c r="F31" s="54">
        <f t="shared" si="2"/>
        <v>0.77782935536170328</v>
      </c>
      <c r="G31" s="54">
        <f t="shared" si="10"/>
        <v>0.86339480145477498</v>
      </c>
      <c r="I31">
        <f t="shared" si="6"/>
        <v>46</v>
      </c>
      <c r="M31">
        <f t="shared" si="7"/>
        <v>46</v>
      </c>
      <c r="Q31">
        <f t="shared" si="8"/>
        <v>46</v>
      </c>
      <c r="U31">
        <f t="shared" si="9"/>
        <v>46</v>
      </c>
    </row>
    <row r="32" spans="1:21">
      <c r="A32">
        <f t="shared" si="4"/>
        <v>48</v>
      </c>
      <c r="B32" s="54">
        <f t="shared" si="0"/>
        <v>0.67619733801420789</v>
      </c>
      <c r="C32" s="54">
        <f t="shared" si="1"/>
        <v>0.60142795816016725</v>
      </c>
      <c r="E32">
        <f t="shared" si="5"/>
        <v>48</v>
      </c>
      <c r="F32" s="54">
        <f t="shared" si="2"/>
        <v>0.77204722557936623</v>
      </c>
      <c r="G32" s="54">
        <f t="shared" si="10"/>
        <v>0.86878672470681018</v>
      </c>
      <c r="I32">
        <f t="shared" si="6"/>
        <v>48</v>
      </c>
      <c r="M32">
        <f t="shared" si="7"/>
        <v>48</v>
      </c>
      <c r="Q32">
        <f t="shared" si="8"/>
        <v>48</v>
      </c>
      <c r="U32">
        <f t="shared" si="9"/>
        <v>48</v>
      </c>
    </row>
    <row r="33" spans="1:21">
      <c r="A33">
        <f t="shared" si="4"/>
        <v>50</v>
      </c>
      <c r="B33" s="54">
        <f t="shared" si="0"/>
        <v>0.67069181660816557</v>
      </c>
      <c r="C33" s="54">
        <f t="shared" si="1"/>
        <v>0.60621383490320313</v>
      </c>
      <c r="E33">
        <f t="shared" si="5"/>
        <v>50</v>
      </c>
      <c r="F33" s="54">
        <f t="shared" si="2"/>
        <v>0.76608044270650988</v>
      </c>
      <c r="G33" s="54">
        <f t="shared" si="10"/>
        <v>0.87397356992561326</v>
      </c>
      <c r="I33">
        <f t="shared" si="6"/>
        <v>50</v>
      </c>
      <c r="M33">
        <f t="shared" si="7"/>
        <v>50</v>
      </c>
      <c r="Q33">
        <f t="shared" si="8"/>
        <v>50</v>
      </c>
      <c r="U33">
        <f t="shared" si="9"/>
        <v>50</v>
      </c>
    </row>
    <row r="34" spans="1:21">
      <c r="A34">
        <f t="shared" si="4"/>
        <v>52</v>
      </c>
      <c r="B34" s="54">
        <f t="shared" si="0"/>
        <v>0.66502262432739734</v>
      </c>
      <c r="C34" s="54">
        <f t="shared" si="1"/>
        <v>0.61080465629328162</v>
      </c>
      <c r="E34">
        <f t="shared" si="5"/>
        <v>52</v>
      </c>
      <c r="F34" s="54">
        <f t="shared" si="2"/>
        <v>0.75993627634895278</v>
      </c>
      <c r="G34" s="54">
        <f t="shared" si="10"/>
        <v>0.87894901773925693</v>
      </c>
      <c r="I34">
        <f t="shared" si="6"/>
        <v>52</v>
      </c>
      <c r="M34">
        <f t="shared" si="7"/>
        <v>52</v>
      </c>
      <c r="Q34">
        <f t="shared" si="8"/>
        <v>52</v>
      </c>
      <c r="U34">
        <f t="shared" si="9"/>
        <v>52</v>
      </c>
    </row>
    <row r="35" spans="1:21">
      <c r="A35">
        <f t="shared" si="4"/>
        <v>54</v>
      </c>
      <c r="B35" s="54">
        <f t="shared" si="0"/>
        <v>0.65919666820942546</v>
      </c>
      <c r="C35" s="54">
        <f t="shared" si="1"/>
        <v>0.61519482912170054</v>
      </c>
      <c r="E35">
        <f t="shared" si="5"/>
        <v>54</v>
      </c>
      <c r="F35" s="54">
        <f t="shared" si="2"/>
        <v>0.75362221222696502</v>
      </c>
      <c r="G35" s="54">
        <f t="shared" si="10"/>
        <v>0.88370700633098953</v>
      </c>
      <c r="I35">
        <f t="shared" si="6"/>
        <v>54</v>
      </c>
      <c r="M35">
        <f t="shared" si="7"/>
        <v>54</v>
      </c>
      <c r="Q35">
        <f t="shared" si="8"/>
        <v>54</v>
      </c>
      <c r="U35">
        <f t="shared" si="9"/>
        <v>54</v>
      </c>
    </row>
    <row r="36" spans="1:21">
      <c r="A36">
        <f t="shared" si="4"/>
        <v>56</v>
      </c>
      <c r="B36" s="54">
        <f t="shared" si="0"/>
        <v>0.65322104628435962</v>
      </c>
      <c r="C36" s="54">
        <f t="shared" si="1"/>
        <v>0.61937900463912288</v>
      </c>
      <c r="E36">
        <f t="shared" si="5"/>
        <v>56</v>
      </c>
      <c r="F36" s="54">
        <f t="shared" si="2"/>
        <v>0.74714594305507243</v>
      </c>
      <c r="G36" s="54">
        <f t="shared" si="10"/>
        <v>0.88824173882462387</v>
      </c>
      <c r="I36">
        <f t="shared" si="6"/>
        <v>56</v>
      </c>
      <c r="M36">
        <f t="shared" si="7"/>
        <v>56</v>
      </c>
      <c r="Q36">
        <f t="shared" si="8"/>
        <v>56</v>
      </c>
      <c r="U36">
        <f t="shared" si="9"/>
        <v>56</v>
      </c>
    </row>
    <row r="37" spans="1:21">
      <c r="A37">
        <f t="shared" si="4"/>
        <v>58</v>
      </c>
      <c r="B37" s="54">
        <f t="shared" si="0"/>
        <v>0.64710303892704168</v>
      </c>
      <c r="C37" s="54">
        <f t="shared" si="1"/>
        <v>0.6233520850722033</v>
      </c>
      <c r="E37">
        <f t="shared" si="5"/>
        <v>58</v>
      </c>
      <c r="F37" s="54">
        <f t="shared" si="2"/>
        <v>0.74051535916966815</v>
      </c>
      <c r="G37" s="54">
        <f t="shared" si="10"/>
        <v>0.89254769034713843</v>
      </c>
      <c r="I37">
        <f t="shared" si="6"/>
        <v>58</v>
      </c>
      <c r="M37">
        <f t="shared" si="7"/>
        <v>58</v>
      </c>
      <c r="Q37">
        <f t="shared" si="8"/>
        <v>58</v>
      </c>
      <c r="U37">
        <f t="shared" si="9"/>
        <v>58</v>
      </c>
    </row>
    <row r="38" spans="1:21">
      <c r="A38">
        <f t="shared" si="4"/>
        <v>60</v>
      </c>
      <c r="B38" s="54">
        <f t="shared" si="0"/>
        <v>0.6408500999870298</v>
      </c>
      <c r="C38" s="54">
        <f t="shared" si="1"/>
        <v>0.6271092298344404</v>
      </c>
      <c r="E38">
        <f t="shared" si="5"/>
        <v>60</v>
      </c>
      <c r="F38" s="54">
        <f t="shared" si="2"/>
        <v>0.73373853891585328</v>
      </c>
      <c r="G38" s="54">
        <f t="shared" si="10"/>
        <v>0.89661961475988416</v>
      </c>
      <c r="I38">
        <f t="shared" si="6"/>
        <v>60</v>
      </c>
      <c r="M38">
        <f t="shared" si="7"/>
        <v>60</v>
      </c>
      <c r="Q38">
        <f t="shared" si="8"/>
        <v>60</v>
      </c>
      <c r="U38">
        <f t="shared" si="9"/>
        <v>60</v>
      </c>
    </row>
    <row r="39" spans="1:21">
      <c r="A39">
        <f t="shared" si="4"/>
        <v>62</v>
      </c>
      <c r="B39" s="54">
        <f t="shared" si="0"/>
        <v>0.63446984770723092</v>
      </c>
      <c r="C39" s="54">
        <f t="shared" si="1"/>
        <v>0.63064586142368517</v>
      </c>
      <c r="E39">
        <f t="shared" si="5"/>
        <v>62</v>
      </c>
      <c r="F39" s="54">
        <f t="shared" si="2"/>
        <v>0.72682373880521811</v>
      </c>
      <c r="G39" s="54">
        <f t="shared" si="10"/>
        <v>0.90045255105019584</v>
      </c>
      <c r="I39">
        <f t="shared" si="6"/>
        <v>62</v>
      </c>
      <c r="M39">
        <f t="shared" si="7"/>
        <v>62</v>
      </c>
      <c r="Q39">
        <f t="shared" si="8"/>
        <v>62</v>
      </c>
      <c r="U39">
        <f t="shared" si="9"/>
        <v>62</v>
      </c>
    </row>
    <row r="40" spans="1:21">
      <c r="A40">
        <f t="shared" si="4"/>
        <v>64</v>
      </c>
      <c r="B40" s="54">
        <f t="shared" si="0"/>
        <v>0.62797005544224538</v>
      </c>
      <c r="C40" s="54">
        <f t="shared" si="1"/>
        <v>0.63395767099912226</v>
      </c>
      <c r="E40">
        <f t="shared" si="5"/>
        <v>64</v>
      </c>
      <c r="F40" s="54">
        <f t="shared" si="2"/>
        <v>0.71977938345655401</v>
      </c>
      <c r="G40" s="54">
        <f t="shared" si="10"/>
        <v>0.90404182937562239</v>
      </c>
      <c r="I40">
        <f t="shared" si="6"/>
        <v>64</v>
      </c>
      <c r="M40">
        <f t="shared" si="7"/>
        <v>64</v>
      </c>
      <c r="Q40">
        <f t="shared" si="8"/>
        <v>64</v>
      </c>
      <c r="U40">
        <f t="shared" si="9"/>
        <v>64</v>
      </c>
    </row>
    <row r="41" spans="1:21">
      <c r="A41">
        <f t="shared" si="4"/>
        <v>66</v>
      </c>
      <c r="B41" s="54">
        <f t="shared" si="0"/>
        <v>0.62135864218773185</v>
      </c>
      <c r="C41" s="54">
        <f t="shared" si="1"/>
        <v>0.63704062363092939</v>
      </c>
      <c r="E41">
        <f t="shared" si="5"/>
        <v>66</v>
      </c>
      <c r="F41" s="54">
        <f t="shared" si="2"/>
        <v>0.71261405533175359</v>
      </c>
      <c r="G41" s="54">
        <f t="shared" si="10"/>
        <v>0.90738307675341023</v>
      </c>
      <c r="I41">
        <f t="shared" si="6"/>
        <v>66</v>
      </c>
      <c r="M41">
        <f t="shared" si="7"/>
        <v>66</v>
      </c>
      <c r="Q41">
        <f t="shared" si="8"/>
        <v>66</v>
      </c>
      <c r="U41">
        <f t="shared" si="9"/>
        <v>66</v>
      </c>
    </row>
    <row r="42" spans="1:21">
      <c r="A42">
        <f t="shared" si="4"/>
        <v>68</v>
      </c>
      <c r="B42" s="54">
        <f t="shared" si="0"/>
        <v>0.61464366293233086</v>
      </c>
      <c r="C42" s="54">
        <f t="shared" si="1"/>
        <v>0.63989096321621708</v>
      </c>
      <c r="E42">
        <f t="shared" si="5"/>
        <v>68</v>
      </c>
      <c r="F42" s="54">
        <f t="shared" si="2"/>
        <v>0.70533648427940276</v>
      </c>
      <c r="G42" s="54">
        <f t="shared" si="10"/>
        <v>0.91047222238830916</v>
      </c>
      <c r="I42">
        <f t="shared" si="6"/>
        <v>68</v>
      </c>
      <c r="M42">
        <f t="shared" si="7"/>
        <v>68</v>
      </c>
      <c r="Q42">
        <f t="shared" si="8"/>
        <v>68</v>
      </c>
      <c r="U42">
        <f t="shared" si="9"/>
        <v>68</v>
      </c>
    </row>
    <row r="43" spans="1:21">
      <c r="A43">
        <f t="shared" si="4"/>
        <v>70</v>
      </c>
      <c r="B43" s="54">
        <f t="shared" si="0"/>
        <v>0.60783329884390191</v>
      </c>
      <c r="C43" s="54">
        <f t="shared" si="1"/>
        <v>0.64250521705526165</v>
      </c>
      <c r="E43">
        <f t="shared" si="5"/>
        <v>70</v>
      </c>
      <c r="F43" s="54">
        <f t="shared" si="2"/>
        <v>0.69795553689880507</v>
      </c>
      <c r="G43" s="54">
        <f t="shared" si="10"/>
        <v>0.91330550263220944</v>
      </c>
      <c r="I43">
        <f t="shared" si="6"/>
        <v>70</v>
      </c>
      <c r="M43">
        <f t="shared" si="7"/>
        <v>70</v>
      </c>
      <c r="Q43">
        <f t="shared" si="8"/>
        <v>70</v>
      </c>
      <c r="U43">
        <f t="shared" si="9"/>
        <v>70</v>
      </c>
    </row>
    <row r="44" spans="1:21">
      <c r="A44">
        <f t="shared" si="4"/>
        <v>72</v>
      </c>
      <c r="B44" s="54">
        <f t="shared" si="0"/>
        <v>0.60093584730203053</v>
      </c>
      <c r="C44" s="54">
        <f t="shared" si="1"/>
        <v>0.64488020008245539</v>
      </c>
      <c r="E44">
        <f t="shared" si="5"/>
        <v>72</v>
      </c>
      <c r="F44" s="54">
        <f t="shared" si="2"/>
        <v>0.69048020573739566</v>
      </c>
      <c r="G44" s="54">
        <f t="shared" si="10"/>
        <v>0.91587946556956745</v>
      </c>
      <c r="I44">
        <f t="shared" si="6"/>
        <v>72</v>
      </c>
      <c r="M44">
        <f t="shared" si="7"/>
        <v>72</v>
      </c>
      <c r="Q44">
        <f t="shared" si="8"/>
        <v>72</v>
      </c>
      <c r="U44">
        <f t="shared" si="9"/>
        <v>72</v>
      </c>
    </row>
    <row r="45" spans="1:21">
      <c r="A45">
        <f t="shared" si="4"/>
        <v>74</v>
      </c>
      <c r="B45" s="54">
        <f t="shared" si="0"/>
        <v>0.59395971178894946</v>
      </c>
      <c r="C45" s="54">
        <f t="shared" si="1"/>
        <v>0.6470130187468176</v>
      </c>
      <c r="E45">
        <f t="shared" si="5"/>
        <v>74</v>
      </c>
      <c r="F45" s="54">
        <f t="shared" si="2"/>
        <v>0.6829195983347085</v>
      </c>
      <c r="G45" s="54">
        <f t="shared" si="10"/>
        <v>0.91819097522303239</v>
      </c>
      <c r="I45">
        <f t="shared" si="6"/>
        <v>74</v>
      </c>
      <c r="M45">
        <f t="shared" si="7"/>
        <v>74</v>
      </c>
      <c r="Q45">
        <f t="shared" si="8"/>
        <v>74</v>
      </c>
      <c r="U45">
        <f t="shared" si="9"/>
        <v>74</v>
      </c>
    </row>
    <row r="46" spans="1:21">
      <c r="A46">
        <f t="shared" si="4"/>
        <v>76</v>
      </c>
      <c r="B46" s="54">
        <f t="shared" si="0"/>
        <v>0.58691339165119016</v>
      </c>
      <c r="C46" s="54">
        <f t="shared" si="1"/>
        <v>0.64890107453734136</v>
      </c>
      <c r="E46">
        <f t="shared" si="5"/>
        <v>76</v>
      </c>
      <c r="F46" s="54">
        <f t="shared" si="2"/>
        <v>0.67528292612624141</v>
      </c>
      <c r="G46" s="54">
        <f t="shared" si="10"/>
        <v>0.92023721537415237</v>
      </c>
      <c r="I46">
        <f t="shared" si="6"/>
        <v>76</v>
      </c>
      <c r="M46">
        <f t="shared" si="7"/>
        <v>76</v>
      </c>
      <c r="Q46">
        <f t="shared" si="8"/>
        <v>76</v>
      </c>
      <c r="U46">
        <f t="shared" si="9"/>
        <v>76</v>
      </c>
    </row>
    <row r="47" spans="1:21">
      <c r="A47">
        <f t="shared" si="4"/>
        <v>78</v>
      </c>
      <c r="B47" s="54">
        <f t="shared" si="0"/>
        <v>0.57980547174443797</v>
      </c>
      <c r="C47" s="54">
        <f t="shared" si="1"/>
        <v>0.65054206714887863</v>
      </c>
      <c r="E47">
        <f t="shared" si="5"/>
        <v>78</v>
      </c>
      <c r="F47" s="54">
        <f t="shared" si="2"/>
        <v>0.66757949322074117</v>
      </c>
      <c r="G47" s="54">
        <f t="shared" si="10"/>
        <v>0.92201569299450226</v>
      </c>
      <c r="I47">
        <f t="shared" si="6"/>
        <v>78</v>
      </c>
      <c r="M47">
        <f t="shared" si="7"/>
        <v>78</v>
      </c>
      <c r="Q47">
        <f t="shared" si="8"/>
        <v>78</v>
      </c>
      <c r="U47">
        <f t="shared" si="9"/>
        <v>78</v>
      </c>
    </row>
    <row r="48" spans="1:21">
      <c r="A48">
        <f t="shared" si="4"/>
        <v>80</v>
      </c>
      <c r="B48" s="54">
        <f t="shared" si="0"/>
        <v>0.57264461197420835</v>
      </c>
      <c r="C48" s="54">
        <f t="shared" si="1"/>
        <v>0.65193399728470769</v>
      </c>
      <c r="E48">
        <f t="shared" si="5"/>
        <v>80</v>
      </c>
      <c r="F48" s="54">
        <f t="shared" si="2"/>
        <v>0.6598186850645803</v>
      </c>
      <c r="G48" s="54">
        <f t="shared" si="10"/>
        <v>0.92352424128305544</v>
      </c>
      <c r="I48">
        <f t="shared" si="6"/>
        <v>80</v>
      </c>
      <c r="M48">
        <f t="shared" si="7"/>
        <v>80</v>
      </c>
      <c r="Q48">
        <f t="shared" si="8"/>
        <v>80</v>
      </c>
      <c r="U48">
        <f t="shared" si="9"/>
        <v>80</v>
      </c>
    </row>
    <row r="49" spans="1:21">
      <c r="A49">
        <f t="shared" si="4"/>
        <v>82</v>
      </c>
      <c r="B49" s="54">
        <f t="shared" si="0"/>
        <v>0.56543953674508529</v>
      </c>
      <c r="C49" s="54">
        <f t="shared" si="1"/>
        <v>0.65307516909236851</v>
      </c>
      <c r="E49">
        <f t="shared" si="5"/>
        <v>82</v>
      </c>
      <c r="F49" s="54">
        <f t="shared" si="2"/>
        <v>0.65200995700703634</v>
      </c>
      <c r="G49" s="54">
        <f t="shared" si="10"/>
        <v>0.92476102230609603</v>
      </c>
      <c r="I49">
        <f t="shared" si="6"/>
        <v>82</v>
      </c>
      <c r="M49">
        <f t="shared" si="7"/>
        <v>82</v>
      </c>
      <c r="Q49">
        <f t="shared" si="8"/>
        <v>82</v>
      </c>
      <c r="U49">
        <f t="shared" si="9"/>
        <v>82</v>
      </c>
    </row>
    <row r="50" spans="1:21">
      <c r="A50">
        <f t="shared" si="4"/>
        <v>84</v>
      </c>
      <c r="B50" s="54">
        <f t="shared" si="0"/>
        <v>0.55819902433137869</v>
      </c>
      <c r="C50" s="54">
        <f t="shared" si="1"/>
        <v>0.65396419222979751</v>
      </c>
      <c r="E50">
        <f t="shared" si="5"/>
        <v>84</v>
      </c>
      <c r="F50" s="54">
        <f t="shared" si="2"/>
        <v>0.64416282278040471</v>
      </c>
      <c r="G50" s="54">
        <f t="shared" si="10"/>
        <v>0.92572452923645909</v>
      </c>
      <c r="I50">
        <f t="shared" si="6"/>
        <v>84</v>
      </c>
      <c r="M50">
        <f t="shared" si="7"/>
        <v>84</v>
      </c>
      <c r="Q50">
        <f t="shared" si="8"/>
        <v>84</v>
      </c>
      <c r="U50">
        <f t="shared" si="9"/>
        <v>84</v>
      </c>
    </row>
    <row r="51" spans="1:21">
      <c r="A51">
        <f t="shared" si="4"/>
        <v>86</v>
      </c>
      <c r="B51" s="54">
        <f t="shared" si="0"/>
        <v>0.55093189618214933</v>
      </c>
      <c r="C51" s="54">
        <f t="shared" si="1"/>
        <v>0.6545999835592452</v>
      </c>
      <c r="E51">
        <f t="shared" si="5"/>
        <v>86</v>
      </c>
      <c r="F51" s="54">
        <f t="shared" si="2"/>
        <v>0.63628684290898263</v>
      </c>
      <c r="G51" s="54">
        <f t="shared" si="10"/>
        <v>0.92641358818936692</v>
      </c>
      <c r="I51">
        <f t="shared" si="6"/>
        <v>86</v>
      </c>
      <c r="M51">
        <f t="shared" si="7"/>
        <v>86</v>
      </c>
      <c r="Q51">
        <f t="shared" si="8"/>
        <v>86</v>
      </c>
      <c r="U51">
        <f t="shared" si="9"/>
        <v>86</v>
      </c>
    </row>
    <row r="52" spans="1:21">
      <c r="A52">
        <f t="shared" si="4"/>
        <v>88</v>
      </c>
      <c r="B52" s="54">
        <f t="shared" si="0"/>
        <v>0.54364700617363171</v>
      </c>
      <c r="C52" s="54">
        <f t="shared" si="1"/>
        <v>0.65498176846691292</v>
      </c>
      <c r="E52">
        <f t="shared" si="5"/>
        <v>88</v>
      </c>
      <c r="F52" s="54">
        <f t="shared" si="2"/>
        <v>0.62839161306104141</v>
      </c>
      <c r="G52" s="54">
        <f t="shared" si="10"/>
        <v>0.92682735965262675</v>
      </c>
      <c r="I52">
        <f t="shared" si="6"/>
        <v>88</v>
      </c>
      <c r="M52">
        <f t="shared" si="7"/>
        <v>88</v>
      </c>
      <c r="Q52">
        <f t="shared" si="8"/>
        <v>88</v>
      </c>
      <c r="U52">
        <f t="shared" si="9"/>
        <v>88</v>
      </c>
    </row>
    <row r="53" spans="1:21">
      <c r="A53">
        <f t="shared" si="4"/>
        <v>90</v>
      </c>
      <c r="B53" s="54">
        <f t="shared" si="0"/>
        <v>0.53635322982214984</v>
      </c>
      <c r="C53" s="54">
        <f t="shared" si="1"/>
        <v>0.65510908180669991</v>
      </c>
      <c r="E53">
        <f t="shared" si="5"/>
        <v>90</v>
      </c>
      <c r="F53" s="54">
        <f t="shared" si="2"/>
        <v>0.62048675235798401</v>
      </c>
      <c r="G53" s="54">
        <f t="shared" si="10"/>
        <v>0.92696533950944704</v>
      </c>
      <c r="I53">
        <f t="shared" si="6"/>
        <v>90</v>
      </c>
      <c r="M53">
        <f t="shared" si="7"/>
        <v>90</v>
      </c>
      <c r="Q53">
        <f t="shared" si="8"/>
        <v>90</v>
      </c>
      <c r="U53">
        <f t="shared" si="9"/>
        <v>90</v>
      </c>
    </row>
    <row r="54" spans="1:21">
      <c r="A54">
        <f t="shared" si="4"/>
        <v>92</v>
      </c>
      <c r="B54" s="54">
        <f t="shared" si="0"/>
        <v>0.52905945347066807</v>
      </c>
      <c r="C54" s="54">
        <f t="shared" si="1"/>
        <v>0.65498176846691292</v>
      </c>
      <c r="E54">
        <f t="shared" si="5"/>
        <v>92</v>
      </c>
      <c r="F54" s="54">
        <f t="shared" si="2"/>
        <v>0.6125818916549266</v>
      </c>
      <c r="G54" s="54">
        <f t="shared" si="10"/>
        <v>0.92682735965262675</v>
      </c>
      <c r="I54">
        <f t="shared" si="6"/>
        <v>92</v>
      </c>
      <c r="M54">
        <f t="shared" si="7"/>
        <v>92</v>
      </c>
      <c r="Q54">
        <f t="shared" si="8"/>
        <v>92</v>
      </c>
      <c r="U54">
        <f t="shared" si="9"/>
        <v>92</v>
      </c>
    </row>
    <row r="55" spans="1:21">
      <c r="A55">
        <f t="shared" si="4"/>
        <v>94</v>
      </c>
      <c r="B55" s="54">
        <f t="shared" si="0"/>
        <v>0.52177456346215034</v>
      </c>
      <c r="C55" s="54">
        <f t="shared" si="1"/>
        <v>0.6545999835592452</v>
      </c>
      <c r="E55">
        <f t="shared" si="5"/>
        <v>94</v>
      </c>
      <c r="F55" s="54">
        <f t="shared" si="2"/>
        <v>0.60468666180698538</v>
      </c>
      <c r="G55" s="54">
        <f t="shared" si="10"/>
        <v>0.92641358818936692</v>
      </c>
      <c r="I55">
        <f t="shared" si="6"/>
        <v>94</v>
      </c>
      <c r="M55">
        <f t="shared" si="7"/>
        <v>94</v>
      </c>
      <c r="Q55">
        <f t="shared" si="8"/>
        <v>94</v>
      </c>
      <c r="U55">
        <f t="shared" si="9"/>
        <v>94</v>
      </c>
    </row>
    <row r="56" spans="1:21">
      <c r="A56">
        <f t="shared" si="4"/>
        <v>96</v>
      </c>
      <c r="B56" s="54">
        <f t="shared" si="0"/>
        <v>0.51450743531292109</v>
      </c>
      <c r="C56" s="54">
        <f t="shared" si="1"/>
        <v>0.65396419222979763</v>
      </c>
      <c r="E56">
        <f t="shared" si="5"/>
        <v>96</v>
      </c>
      <c r="F56" s="54">
        <f t="shared" si="2"/>
        <v>0.5968106819355633</v>
      </c>
      <c r="G56" s="54">
        <f t="shared" si="10"/>
        <v>0.92572452923645909</v>
      </c>
      <c r="I56">
        <f t="shared" si="6"/>
        <v>96</v>
      </c>
      <c r="M56">
        <f t="shared" si="7"/>
        <v>96</v>
      </c>
      <c r="Q56">
        <f t="shared" si="8"/>
        <v>96</v>
      </c>
      <c r="U56">
        <f t="shared" si="9"/>
        <v>96</v>
      </c>
    </row>
    <row r="57" spans="1:21">
      <c r="A57">
        <f t="shared" si="4"/>
        <v>98</v>
      </c>
      <c r="B57" s="54">
        <f t="shared" si="0"/>
        <v>0.50726692289921449</v>
      </c>
      <c r="C57" s="54">
        <f t="shared" si="1"/>
        <v>0.65307516909236862</v>
      </c>
      <c r="E57">
        <f t="shared" si="5"/>
        <v>98</v>
      </c>
      <c r="F57" s="54">
        <f t="shared" si="2"/>
        <v>0.58896354770893178</v>
      </c>
      <c r="G57" s="54">
        <f t="shared" si="10"/>
        <v>0.92476102230609603</v>
      </c>
      <c r="I57">
        <f t="shared" si="6"/>
        <v>98</v>
      </c>
      <c r="M57">
        <f t="shared" si="7"/>
        <v>98</v>
      </c>
      <c r="Q57">
        <f t="shared" si="8"/>
        <v>98</v>
      </c>
      <c r="U57">
        <f t="shared" si="9"/>
        <v>98</v>
      </c>
    </row>
    <row r="58" spans="1:21">
      <c r="A58">
        <f t="shared" si="4"/>
        <v>100</v>
      </c>
      <c r="B58" s="54">
        <f t="shared" si="0"/>
        <v>0.50006184767009143</v>
      </c>
      <c r="C58" s="54">
        <f t="shared" si="1"/>
        <v>0.65193399728470769</v>
      </c>
      <c r="E58">
        <f t="shared" si="5"/>
        <v>100</v>
      </c>
      <c r="F58" s="54">
        <f t="shared" si="2"/>
        <v>0.58115481965138771</v>
      </c>
      <c r="G58" s="54">
        <f t="shared" si="10"/>
        <v>0.92352424128305544</v>
      </c>
      <c r="I58">
        <f t="shared" si="6"/>
        <v>100</v>
      </c>
      <c r="M58">
        <f t="shared" si="7"/>
        <v>100</v>
      </c>
      <c r="Q58">
        <f t="shared" si="8"/>
        <v>100</v>
      </c>
      <c r="U58">
        <f t="shared" si="9"/>
        <v>100</v>
      </c>
    </row>
    <row r="59" spans="1:21">
      <c r="A59">
        <f t="shared" si="4"/>
        <v>102</v>
      </c>
      <c r="B59" s="54">
        <f t="shared" si="0"/>
        <v>0.49290098789986175</v>
      </c>
      <c r="C59" s="54">
        <f t="shared" si="1"/>
        <v>0.65054206714887863</v>
      </c>
      <c r="E59">
        <f t="shared" si="5"/>
        <v>102</v>
      </c>
      <c r="F59" s="54">
        <f t="shared" si="2"/>
        <v>0.57339401149522684</v>
      </c>
      <c r="G59" s="54">
        <f t="shared" si="10"/>
        <v>0.92201569299450237</v>
      </c>
      <c r="I59">
        <f t="shared" si="6"/>
        <v>102</v>
      </c>
      <c r="M59">
        <f t="shared" si="7"/>
        <v>102</v>
      </c>
      <c r="Q59">
        <f t="shared" si="8"/>
        <v>102</v>
      </c>
      <c r="U59">
        <f t="shared" si="9"/>
        <v>102</v>
      </c>
    </row>
    <row r="60" spans="1:21">
      <c r="A60">
        <f t="shared" si="4"/>
        <v>104</v>
      </c>
      <c r="B60" s="54">
        <f t="shared" si="0"/>
        <v>0.48579306799310956</v>
      </c>
      <c r="C60" s="54">
        <f t="shared" si="1"/>
        <v>0.64890107453734136</v>
      </c>
      <c r="E60">
        <f t="shared" si="5"/>
        <v>104</v>
      </c>
      <c r="F60" s="54">
        <f t="shared" si="2"/>
        <v>0.5656905785897266</v>
      </c>
      <c r="G60" s="54">
        <f t="shared" si="10"/>
        <v>0.92023721537415237</v>
      </c>
      <c r="I60">
        <f t="shared" si="6"/>
        <v>104</v>
      </c>
      <c r="M60">
        <f t="shared" si="7"/>
        <v>104</v>
      </c>
      <c r="Q60">
        <f t="shared" si="8"/>
        <v>104</v>
      </c>
      <c r="U60">
        <f t="shared" si="9"/>
        <v>104</v>
      </c>
    </row>
    <row r="61" spans="1:21">
      <c r="A61">
        <f t="shared" si="4"/>
        <v>106</v>
      </c>
      <c r="B61" s="54">
        <f t="shared" si="0"/>
        <v>0.47874674785535026</v>
      </c>
      <c r="C61" s="54">
        <f t="shared" si="1"/>
        <v>0.6470130187468176</v>
      </c>
      <c r="E61">
        <f t="shared" si="5"/>
        <v>106</v>
      </c>
      <c r="F61" s="54">
        <f t="shared" si="2"/>
        <v>0.55805390638125951</v>
      </c>
      <c r="G61" s="54">
        <f t="shared" si="10"/>
        <v>0.91819097522303239</v>
      </c>
      <c r="I61">
        <f t="shared" si="6"/>
        <v>106</v>
      </c>
      <c r="M61">
        <f t="shared" si="7"/>
        <v>106</v>
      </c>
      <c r="Q61">
        <f t="shared" si="8"/>
        <v>106</v>
      </c>
      <c r="U61">
        <f t="shared" si="9"/>
        <v>106</v>
      </c>
    </row>
    <row r="62" spans="1:21">
      <c r="A62">
        <f t="shared" si="4"/>
        <v>108</v>
      </c>
      <c r="B62" s="54">
        <f t="shared" si="0"/>
        <v>0.47177061234226919</v>
      </c>
      <c r="C62" s="54">
        <f t="shared" si="1"/>
        <v>0.64488020008245539</v>
      </c>
      <c r="E62">
        <f t="shared" si="5"/>
        <v>108</v>
      </c>
      <c r="F62" s="54">
        <f t="shared" si="2"/>
        <v>0.55049329897857235</v>
      </c>
      <c r="G62" s="54">
        <f t="shared" si="10"/>
        <v>0.91587946556956745</v>
      </c>
      <c r="I62">
        <f t="shared" si="6"/>
        <v>108</v>
      </c>
      <c r="M62">
        <f t="shared" si="7"/>
        <v>108</v>
      </c>
      <c r="Q62">
        <f t="shared" si="8"/>
        <v>108</v>
      </c>
      <c r="U62">
        <f t="shared" si="9"/>
        <v>108</v>
      </c>
    </row>
    <row r="63" spans="1:21">
      <c r="A63">
        <f t="shared" si="4"/>
        <v>110</v>
      </c>
      <c r="B63" s="54">
        <f t="shared" si="0"/>
        <v>0.46487316080039776</v>
      </c>
      <c r="C63" s="54">
        <f t="shared" si="1"/>
        <v>0.64250521705526165</v>
      </c>
      <c r="E63">
        <f t="shared" si="5"/>
        <v>110</v>
      </c>
      <c r="F63" s="54">
        <f t="shared" si="2"/>
        <v>0.54301796781716305</v>
      </c>
      <c r="G63" s="54">
        <f t="shared" si="10"/>
        <v>0.91330550263220955</v>
      </c>
      <c r="I63">
        <f t="shared" si="6"/>
        <v>110</v>
      </c>
      <c r="M63">
        <f t="shared" si="7"/>
        <v>110</v>
      </c>
      <c r="Q63">
        <f t="shared" si="8"/>
        <v>110</v>
      </c>
      <c r="U63">
        <f t="shared" si="9"/>
        <v>110</v>
      </c>
    </row>
    <row r="64" spans="1:21">
      <c r="A64">
        <f t="shared" si="4"/>
        <v>112</v>
      </c>
      <c r="B64" s="54">
        <f t="shared" si="0"/>
        <v>0.45806279671196876</v>
      </c>
      <c r="C64" s="54">
        <f t="shared" si="1"/>
        <v>0.63989096321621708</v>
      </c>
      <c r="E64">
        <f t="shared" si="5"/>
        <v>112</v>
      </c>
      <c r="F64" s="54">
        <f t="shared" si="2"/>
        <v>0.53563702043656525</v>
      </c>
      <c r="G64" s="54">
        <f t="shared" si="10"/>
        <v>0.91047222238830916</v>
      </c>
      <c r="I64">
        <f t="shared" si="6"/>
        <v>112</v>
      </c>
      <c r="M64">
        <f t="shared" si="7"/>
        <v>112</v>
      </c>
      <c r="Q64">
        <f t="shared" si="8"/>
        <v>112</v>
      </c>
      <c r="U64">
        <f t="shared" si="9"/>
        <v>112</v>
      </c>
    </row>
    <row r="65" spans="1:21">
      <c r="A65">
        <f t="shared" si="4"/>
        <v>114</v>
      </c>
      <c r="B65" s="54">
        <f t="shared" si="0"/>
        <v>0.45134781745656782</v>
      </c>
      <c r="C65" s="54">
        <f t="shared" si="1"/>
        <v>0.63704062363092939</v>
      </c>
      <c r="E65">
        <f t="shared" si="5"/>
        <v>114</v>
      </c>
      <c r="F65" s="54">
        <f t="shared" si="2"/>
        <v>0.52835944938421442</v>
      </c>
      <c r="G65" s="54">
        <f t="shared" si="10"/>
        <v>0.90738307675341023</v>
      </c>
      <c r="I65">
        <f t="shared" si="6"/>
        <v>114</v>
      </c>
      <c r="M65">
        <f t="shared" si="7"/>
        <v>114</v>
      </c>
      <c r="Q65">
        <f t="shared" si="8"/>
        <v>114</v>
      </c>
      <c r="U65">
        <f t="shared" si="9"/>
        <v>114</v>
      </c>
    </row>
    <row r="66" spans="1:21">
      <c r="A66">
        <f t="shared" si="4"/>
        <v>116</v>
      </c>
      <c r="B66" s="54">
        <f t="shared" si="0"/>
        <v>0.44473640420205429</v>
      </c>
      <c r="C66" s="54">
        <f t="shared" si="1"/>
        <v>0.63395767099912226</v>
      </c>
      <c r="E66">
        <f t="shared" si="5"/>
        <v>116</v>
      </c>
      <c r="F66" s="54">
        <f t="shared" si="2"/>
        <v>0.521194121259414</v>
      </c>
      <c r="G66" s="54">
        <f t="shared" si="10"/>
        <v>0.90404182937562239</v>
      </c>
      <c r="I66">
        <f t="shared" si="6"/>
        <v>116</v>
      </c>
      <c r="M66">
        <f t="shared" si="7"/>
        <v>116</v>
      </c>
      <c r="Q66">
        <f t="shared" si="8"/>
        <v>116</v>
      </c>
      <c r="U66">
        <f t="shared" si="9"/>
        <v>116</v>
      </c>
    </row>
    <row r="67" spans="1:21">
      <c r="A67">
        <f t="shared" si="4"/>
        <v>118</v>
      </c>
      <c r="B67" s="54">
        <f t="shared" si="0"/>
        <v>0.43823661193706887</v>
      </c>
      <c r="C67" s="54">
        <f t="shared" si="1"/>
        <v>0.63064586142368517</v>
      </c>
      <c r="E67">
        <f t="shared" si="5"/>
        <v>118</v>
      </c>
      <c r="F67" s="54">
        <f t="shared" si="2"/>
        <v>0.51414976591075001</v>
      </c>
      <c r="G67" s="54">
        <f t="shared" si="10"/>
        <v>0.90045255105019595</v>
      </c>
      <c r="I67">
        <f t="shared" si="6"/>
        <v>118</v>
      </c>
      <c r="M67">
        <f t="shared" si="7"/>
        <v>118</v>
      </c>
      <c r="Q67">
        <f t="shared" si="8"/>
        <v>118</v>
      </c>
      <c r="U67">
        <f t="shared" si="9"/>
        <v>118</v>
      </c>
    </row>
    <row r="68" spans="1:21">
      <c r="A68">
        <f t="shared" si="4"/>
        <v>120</v>
      </c>
      <c r="B68" s="54">
        <f t="shared" si="0"/>
        <v>0.43185635965726987</v>
      </c>
      <c r="C68" s="54">
        <f t="shared" si="1"/>
        <v>0.6271092298344404</v>
      </c>
      <c r="E68">
        <f t="shared" si="5"/>
        <v>120</v>
      </c>
      <c r="F68" s="54">
        <f t="shared" si="2"/>
        <v>0.50723496580011473</v>
      </c>
      <c r="G68" s="54">
        <f t="shared" si="10"/>
        <v>0.89661961475988416</v>
      </c>
      <c r="I68">
        <f t="shared" si="6"/>
        <v>120</v>
      </c>
      <c r="M68">
        <f t="shared" si="7"/>
        <v>120</v>
      </c>
      <c r="Q68">
        <f t="shared" si="8"/>
        <v>120</v>
      </c>
      <c r="U68">
        <f t="shared" si="9"/>
        <v>120</v>
      </c>
    </row>
    <row r="69" spans="1:21">
      <c r="A69">
        <f t="shared" si="4"/>
        <v>122</v>
      </c>
      <c r="B69" s="54">
        <f t="shared" si="0"/>
        <v>0.42560342071725799</v>
      </c>
      <c r="C69" s="54">
        <f t="shared" si="1"/>
        <v>0.6233520850722033</v>
      </c>
      <c r="E69">
        <f t="shared" si="5"/>
        <v>122</v>
      </c>
      <c r="F69" s="54">
        <f t="shared" si="2"/>
        <v>0.50045814554629986</v>
      </c>
      <c r="G69" s="54">
        <f t="shared" si="10"/>
        <v>0.89254769034713843</v>
      </c>
      <c r="I69">
        <f t="shared" si="6"/>
        <v>122</v>
      </c>
      <c r="M69">
        <f t="shared" si="7"/>
        <v>122</v>
      </c>
      <c r="Q69">
        <f t="shared" si="8"/>
        <v>122</v>
      </c>
      <c r="U69">
        <f t="shared" si="9"/>
        <v>122</v>
      </c>
    </row>
    <row r="70" spans="1:21">
      <c r="A70">
        <f t="shared" si="4"/>
        <v>124</v>
      </c>
      <c r="B70" s="54">
        <f t="shared" si="0"/>
        <v>0.41948541335994005</v>
      </c>
      <c r="C70" s="54">
        <f t="shared" si="1"/>
        <v>0.61937900463912288</v>
      </c>
      <c r="E70">
        <f t="shared" si="5"/>
        <v>124</v>
      </c>
      <c r="F70" s="54">
        <f t="shared" si="2"/>
        <v>0.49382756166089559</v>
      </c>
      <c r="G70" s="54">
        <f t="shared" si="10"/>
        <v>0.88824173882462387</v>
      </c>
      <c r="I70">
        <f t="shared" si="6"/>
        <v>124</v>
      </c>
      <c r="M70">
        <f t="shared" si="7"/>
        <v>124</v>
      </c>
      <c r="Q70">
        <f t="shared" si="8"/>
        <v>124</v>
      </c>
      <c r="U70">
        <f t="shared" si="9"/>
        <v>124</v>
      </c>
    </row>
    <row r="71" spans="1:21">
      <c r="A71">
        <f t="shared" si="4"/>
        <v>126</v>
      </c>
      <c r="B71" s="54">
        <f t="shared" si="0"/>
        <v>0.41350979143487432</v>
      </c>
      <c r="C71" s="54">
        <f t="shared" si="1"/>
        <v>0.61519482912170054</v>
      </c>
      <c r="E71">
        <f t="shared" si="5"/>
        <v>126</v>
      </c>
      <c r="F71" s="54">
        <f t="shared" si="2"/>
        <v>0.487351292489003</v>
      </c>
      <c r="G71" s="54">
        <f t="shared" si="10"/>
        <v>0.88370700633098953</v>
      </c>
      <c r="I71">
        <f t="shared" si="6"/>
        <v>126</v>
      </c>
      <c r="M71">
        <f t="shared" si="7"/>
        <v>126</v>
      </c>
      <c r="Q71">
        <f t="shared" si="8"/>
        <v>126</v>
      </c>
      <c r="U71">
        <f t="shared" si="9"/>
        <v>126</v>
      </c>
    </row>
    <row r="72" spans="1:21">
      <c r="A72">
        <f t="shared" si="4"/>
        <v>128</v>
      </c>
      <c r="B72" s="54">
        <f t="shared" si="0"/>
        <v>0.40768383531690233</v>
      </c>
      <c r="C72" s="54">
        <f t="shared" si="1"/>
        <v>0.61080465629328162</v>
      </c>
      <c r="E72">
        <f t="shared" si="5"/>
        <v>128</v>
      </c>
      <c r="F72" s="54">
        <f t="shared" si="2"/>
        <v>0.48103722836701523</v>
      </c>
      <c r="G72" s="54">
        <f t="shared" si="10"/>
        <v>0.87894901773925693</v>
      </c>
      <c r="I72">
        <f t="shared" si="6"/>
        <v>128</v>
      </c>
      <c r="M72">
        <f t="shared" si="7"/>
        <v>128</v>
      </c>
      <c r="Q72">
        <f t="shared" si="8"/>
        <v>128</v>
      </c>
      <c r="U72">
        <f t="shared" si="9"/>
        <v>128</v>
      </c>
    </row>
    <row r="73" spans="1:21">
      <c r="A73">
        <f t="shared" si="4"/>
        <v>130</v>
      </c>
      <c r="B73" s="54">
        <f t="shared" ref="B73:B136" si="11">$F$2*COS(A73*PI()/180)+$F$3</f>
        <v>0.4020146430361341</v>
      </c>
      <c r="C73" s="54">
        <f t="shared" ref="C73:C136" si="12">$F$2*SIN(A73*PI()/180)+$F$4</f>
        <v>0.60621383490320313</v>
      </c>
      <c r="E73">
        <f t="shared" si="5"/>
        <v>130</v>
      </c>
      <c r="F73" s="54">
        <f t="shared" ref="F73:F136" si="13">$I$2*COS(E73*PI()/180)+$I$3</f>
        <v>0.47489306200945813</v>
      </c>
      <c r="G73" s="54">
        <f t="shared" si="10"/>
        <v>0.87397356992561326</v>
      </c>
      <c r="I73">
        <f t="shared" si="6"/>
        <v>130</v>
      </c>
      <c r="M73">
        <f t="shared" si="7"/>
        <v>130</v>
      </c>
      <c r="Q73">
        <f t="shared" si="8"/>
        <v>130</v>
      </c>
      <c r="U73">
        <f t="shared" si="9"/>
        <v>130</v>
      </c>
    </row>
    <row r="74" spans="1:21">
      <c r="A74">
        <f t="shared" ref="A74:A137" si="14">A73+2</f>
        <v>132</v>
      </c>
      <c r="B74" s="54">
        <f t="shared" si="11"/>
        <v>0.39650912163009178</v>
      </c>
      <c r="C74" s="54">
        <f t="shared" si="12"/>
        <v>0.60142795816016725</v>
      </c>
      <c r="E74">
        <f t="shared" ref="E74:E137" si="15">E73+2</f>
        <v>132</v>
      </c>
      <c r="F74" s="54">
        <f t="shared" si="13"/>
        <v>0.46892627913660184</v>
      </c>
      <c r="G74" s="54">
        <f t="shared" si="10"/>
        <v>0.86878672470681029</v>
      </c>
      <c r="I74">
        <f t="shared" ref="I74:I137" si="16">I73+2</f>
        <v>132</v>
      </c>
      <c r="M74">
        <f t="shared" ref="M74:M137" si="17">M73+2</f>
        <v>132</v>
      </c>
      <c r="Q74">
        <f t="shared" ref="Q74:Q137" si="18">Q73+2</f>
        <v>132</v>
      </c>
      <c r="U74">
        <f t="shared" ref="U74:U137" si="19">U73+2</f>
        <v>132</v>
      </c>
    </row>
    <row r="75" spans="1:21">
      <c r="A75">
        <f t="shared" si="14"/>
        <v>134</v>
      </c>
      <c r="B75" s="54">
        <f t="shared" si="11"/>
        <v>0.39117397872854798</v>
      </c>
      <c r="C75" s="54">
        <f t="shared" si="12"/>
        <v>0.59645285691777739</v>
      </c>
      <c r="E75">
        <f t="shared" si="15"/>
        <v>134</v>
      </c>
      <c r="F75" s="54">
        <f t="shared" si="13"/>
        <v>0.46314414935426473</v>
      </c>
      <c r="G75" s="54">
        <f t="shared" si="10"/>
        <v>0.86339480145477498</v>
      </c>
      <c r="I75">
        <f t="shared" si="16"/>
        <v>134</v>
      </c>
      <c r="M75">
        <f t="shared" si="17"/>
        <v>134</v>
      </c>
      <c r="Q75">
        <f t="shared" si="18"/>
        <v>134</v>
      </c>
      <c r="U75">
        <f t="shared" si="19"/>
        <v>134</v>
      </c>
    </row>
    <row r="76" spans="1:21">
      <c r="A76">
        <f t="shared" si="14"/>
        <v>136</v>
      </c>
      <c r="B76" s="54">
        <f t="shared" si="11"/>
        <v>0.38601571438131244</v>
      </c>
      <c r="C76" s="54">
        <f t="shared" si="12"/>
        <v>0.59129459257054173</v>
      </c>
      <c r="E76">
        <f t="shared" si="15"/>
        <v>136</v>
      </c>
      <c r="F76" s="54">
        <f t="shared" si="13"/>
        <v>0.45755371729691752</v>
      </c>
      <c r="G76" s="54">
        <f t="shared" si="10"/>
        <v>0.85780436939742777</v>
      </c>
      <c r="I76">
        <f t="shared" si="16"/>
        <v>136</v>
      </c>
      <c r="M76">
        <f t="shared" si="17"/>
        <v>136</v>
      </c>
      <c r="Q76">
        <f t="shared" si="18"/>
        <v>136</v>
      </c>
      <c r="U76">
        <f t="shared" si="19"/>
        <v>136</v>
      </c>
    </row>
    <row r="77" spans="1:21">
      <c r="A77">
        <f t="shared" si="14"/>
        <v>138</v>
      </c>
      <c r="B77" s="54">
        <f t="shared" si="11"/>
        <v>0.38104061313892257</v>
      </c>
      <c r="C77" s="54">
        <f t="shared" si="12"/>
        <v>0.58595944966899793</v>
      </c>
      <c r="E77">
        <f t="shared" si="15"/>
        <v>138</v>
      </c>
      <c r="F77" s="54">
        <f t="shared" si="13"/>
        <v>0.45216179404488233</v>
      </c>
      <c r="G77" s="54">
        <f t="shared" si="10"/>
        <v>0.85202223961509072</v>
      </c>
      <c r="I77">
        <f t="shared" si="16"/>
        <v>138</v>
      </c>
      <c r="M77">
        <f t="shared" si="17"/>
        <v>138</v>
      </c>
      <c r="Q77">
        <f t="shared" si="18"/>
        <v>138</v>
      </c>
      <c r="U77">
        <f t="shared" si="19"/>
        <v>138</v>
      </c>
    </row>
    <row r="78" spans="1:21">
      <c r="A78">
        <f t="shared" si="14"/>
        <v>140</v>
      </c>
      <c r="B78" s="54">
        <f t="shared" si="11"/>
        <v>0.37625473639588658</v>
      </c>
      <c r="C78" s="54">
        <f t="shared" si="12"/>
        <v>0.58045392826295572</v>
      </c>
      <c r="E78">
        <f t="shared" si="15"/>
        <v>140</v>
      </c>
      <c r="F78" s="54">
        <f t="shared" si="13"/>
        <v>0.44697494882607935</v>
      </c>
      <c r="G78" s="54">
        <f t="shared" si="10"/>
        <v>0.84605545674223448</v>
      </c>
      <c r="I78">
        <f t="shared" si="16"/>
        <v>140</v>
      </c>
      <c r="M78">
        <f t="shared" si="17"/>
        <v>140</v>
      </c>
      <c r="Q78">
        <f t="shared" si="18"/>
        <v>140</v>
      </c>
      <c r="U78">
        <f t="shared" si="19"/>
        <v>140</v>
      </c>
    </row>
    <row r="79" spans="1:21">
      <c r="A79">
        <f t="shared" si="14"/>
        <v>142</v>
      </c>
      <c r="B79" s="54">
        <f t="shared" si="11"/>
        <v>0.37166391500580814</v>
      </c>
      <c r="C79" s="54">
        <f t="shared" si="12"/>
        <v>0.57478473598218749</v>
      </c>
      <c r="E79">
        <f t="shared" si="15"/>
        <v>142</v>
      </c>
      <c r="F79" s="54">
        <f t="shared" si="13"/>
        <v>0.44199950101243557</v>
      </c>
      <c r="G79" s="54">
        <f t="shared" si="10"/>
        <v>0.83991129038467727</v>
      </c>
      <c r="I79">
        <f t="shared" si="16"/>
        <v>142</v>
      </c>
      <c r="M79">
        <f t="shared" si="17"/>
        <v>142</v>
      </c>
      <c r="Q79">
        <f t="shared" si="18"/>
        <v>142</v>
      </c>
      <c r="U79">
        <f t="shared" si="19"/>
        <v>142</v>
      </c>
    </row>
    <row r="80" spans="1:21">
      <c r="A80">
        <f t="shared" si="14"/>
        <v>144</v>
      </c>
      <c r="B80" s="54">
        <f t="shared" si="11"/>
        <v>0.36727374217738923</v>
      </c>
      <c r="C80" s="54">
        <f t="shared" si="12"/>
        <v>0.5689587798642155</v>
      </c>
      <c r="E80">
        <f t="shared" si="15"/>
        <v>144</v>
      </c>
      <c r="F80" s="54">
        <f t="shared" si="13"/>
        <v>0.43724151242070303</v>
      </c>
      <c r="G80" s="54">
        <f t="shared" si="10"/>
        <v>0.83359722626268962</v>
      </c>
      <c r="I80">
        <f t="shared" si="16"/>
        <v>144</v>
      </c>
      <c r="M80">
        <f t="shared" si="17"/>
        <v>144</v>
      </c>
      <c r="Q80">
        <f t="shared" si="18"/>
        <v>144</v>
      </c>
      <c r="U80">
        <f t="shared" si="19"/>
        <v>144</v>
      </c>
    </row>
    <row r="81" spans="1:21">
      <c r="A81">
        <f t="shared" si="14"/>
        <v>146</v>
      </c>
      <c r="B81" s="54">
        <f t="shared" si="11"/>
        <v>0.36308956665996694</v>
      </c>
      <c r="C81" s="54">
        <f t="shared" si="12"/>
        <v>0.56298315793914977</v>
      </c>
      <c r="E81">
        <f t="shared" si="15"/>
        <v>146</v>
      </c>
      <c r="F81" s="54">
        <f t="shared" si="13"/>
        <v>0.43270677992706869</v>
      </c>
      <c r="G81" s="54">
        <f t="shared" si="10"/>
        <v>0.82712095709079692</v>
      </c>
      <c r="I81">
        <f t="shared" si="16"/>
        <v>146</v>
      </c>
      <c r="M81">
        <f t="shared" si="17"/>
        <v>146</v>
      </c>
      <c r="Q81">
        <f t="shared" si="18"/>
        <v>146</v>
      </c>
      <c r="U81">
        <f t="shared" si="19"/>
        <v>146</v>
      </c>
    </row>
    <row r="82" spans="1:21">
      <c r="A82">
        <f t="shared" si="14"/>
        <v>148</v>
      </c>
      <c r="B82" s="54">
        <f t="shared" si="11"/>
        <v>0.35911648622688641</v>
      </c>
      <c r="C82" s="54">
        <f t="shared" si="12"/>
        <v>0.55686515058183184</v>
      </c>
      <c r="E82">
        <f t="shared" si="15"/>
        <v>148</v>
      </c>
      <c r="F82" s="54">
        <f t="shared" si="13"/>
        <v>0.42840082840455407</v>
      </c>
      <c r="G82" s="54">
        <f t="shared" si="10"/>
        <v>0.82049037320539264</v>
      </c>
      <c r="I82">
        <f t="shared" si="16"/>
        <v>148</v>
      </c>
      <c r="M82">
        <f t="shared" si="17"/>
        <v>148</v>
      </c>
      <c r="Q82">
        <f t="shared" si="18"/>
        <v>148</v>
      </c>
      <c r="U82">
        <f t="shared" si="19"/>
        <v>148</v>
      </c>
    </row>
    <row r="83" spans="1:21">
      <c r="A83">
        <f t="shared" si="14"/>
        <v>150</v>
      </c>
      <c r="B83" s="54">
        <f t="shared" si="11"/>
        <v>0.35535934146464931</v>
      </c>
      <c r="C83" s="54">
        <f t="shared" si="12"/>
        <v>0.55061221164181995</v>
      </c>
      <c r="E83">
        <f t="shared" si="15"/>
        <v>150</v>
      </c>
      <c r="F83" s="54">
        <f t="shared" si="13"/>
        <v>0.42432890399180834</v>
      </c>
      <c r="G83" s="54">
        <f t="shared" ref="G83:G146" si="20">$I$2*SIN(E83*PI()/180)+$I$4</f>
        <v>0.81371355295157777</v>
      </c>
      <c r="I83">
        <f t="shared" si="16"/>
        <v>150</v>
      </c>
      <c r="M83">
        <f t="shared" si="17"/>
        <v>150</v>
      </c>
      <c r="Q83">
        <f t="shared" si="18"/>
        <v>150</v>
      </c>
      <c r="U83">
        <f t="shared" si="19"/>
        <v>150</v>
      </c>
    </row>
    <row r="84" spans="1:21">
      <c r="A84">
        <f t="shared" si="14"/>
        <v>152</v>
      </c>
      <c r="B84" s="54">
        <f t="shared" si="11"/>
        <v>0.35182270987540465</v>
      </c>
      <c r="C84" s="54">
        <f t="shared" si="12"/>
        <v>0.54423195936202107</v>
      </c>
      <c r="E84">
        <f t="shared" si="15"/>
        <v>152</v>
      </c>
      <c r="F84" s="54">
        <f t="shared" si="13"/>
        <v>0.42049596770149666</v>
      </c>
      <c r="G84" s="54">
        <f t="shared" si="20"/>
        <v>0.8067987528409426</v>
      </c>
      <c r="I84">
        <f t="shared" si="16"/>
        <v>152</v>
      </c>
      <c r="M84">
        <f t="shared" si="17"/>
        <v>152</v>
      </c>
      <c r="Q84">
        <f t="shared" si="18"/>
        <v>152</v>
      </c>
      <c r="U84">
        <f t="shared" si="19"/>
        <v>152</v>
      </c>
    </row>
    <row r="85" spans="1:21">
      <c r="A85">
        <f t="shared" si="14"/>
        <v>154</v>
      </c>
      <c r="B85" s="54">
        <f t="shared" si="11"/>
        <v>0.34851090029996745</v>
      </c>
      <c r="C85" s="54">
        <f t="shared" si="12"/>
        <v>0.53773216709703542</v>
      </c>
      <c r="E85">
        <f t="shared" si="15"/>
        <v>154</v>
      </c>
      <c r="F85" s="54">
        <f t="shared" si="13"/>
        <v>0.41690668937607012</v>
      </c>
      <c r="G85" s="54">
        <f t="shared" si="20"/>
        <v>0.7997543974922785</v>
      </c>
      <c r="I85">
        <f t="shared" si="16"/>
        <v>154</v>
      </c>
      <c r="M85">
        <f t="shared" si="17"/>
        <v>154</v>
      </c>
      <c r="Q85">
        <f t="shared" si="18"/>
        <v>154</v>
      </c>
      <c r="U85">
        <f t="shared" si="19"/>
        <v>154</v>
      </c>
    </row>
    <row r="86" spans="1:21">
      <c r="A86">
        <f t="shared" si="14"/>
        <v>156</v>
      </c>
      <c r="B86" s="54">
        <f t="shared" si="11"/>
        <v>0.34542794766816043</v>
      </c>
      <c r="C86" s="54">
        <f t="shared" si="12"/>
        <v>0.531120753842522</v>
      </c>
      <c r="E86">
        <f t="shared" si="15"/>
        <v>156</v>
      </c>
      <c r="F86" s="54">
        <f t="shared" si="13"/>
        <v>0.41356544199828227</v>
      </c>
      <c r="G86" s="54">
        <f t="shared" si="20"/>
        <v>0.79258906936747819</v>
      </c>
      <c r="I86">
        <f t="shared" si="16"/>
        <v>156</v>
      </c>
      <c r="M86">
        <f t="shared" si="17"/>
        <v>156</v>
      </c>
      <c r="Q86">
        <f t="shared" si="18"/>
        <v>156</v>
      </c>
      <c r="U86">
        <f t="shared" si="19"/>
        <v>156</v>
      </c>
    </row>
    <row r="87" spans="1:21">
      <c r="A87">
        <f t="shared" si="14"/>
        <v>158</v>
      </c>
      <c r="B87" s="54">
        <f t="shared" si="11"/>
        <v>0.34257760808287274</v>
      </c>
      <c r="C87" s="54">
        <f t="shared" si="12"/>
        <v>0.52440577458712101</v>
      </c>
      <c r="E87">
        <f t="shared" si="15"/>
        <v>158</v>
      </c>
      <c r="F87" s="54">
        <f t="shared" si="13"/>
        <v>0.41047629636338334</v>
      </c>
      <c r="G87" s="54">
        <f t="shared" si="20"/>
        <v>0.78531149831512737</v>
      </c>
      <c r="I87">
        <f t="shared" si="16"/>
        <v>158</v>
      </c>
      <c r="M87">
        <f t="shared" si="17"/>
        <v>158</v>
      </c>
      <c r="Q87">
        <f t="shared" si="18"/>
        <v>158</v>
      </c>
      <c r="U87">
        <f t="shared" si="19"/>
        <v>158</v>
      </c>
    </row>
    <row r="88" spans="1:21">
      <c r="A88">
        <f t="shared" si="14"/>
        <v>160</v>
      </c>
      <c r="B88" s="54">
        <f t="shared" si="11"/>
        <v>0.33996335424382812</v>
      </c>
      <c r="C88" s="54">
        <f t="shared" si="12"/>
        <v>0.51759541049869207</v>
      </c>
      <c r="E88">
        <f t="shared" si="15"/>
        <v>160</v>
      </c>
      <c r="F88" s="54">
        <f t="shared" si="13"/>
        <v>0.407643016119483</v>
      </c>
      <c r="G88" s="54">
        <f t="shared" si="20"/>
        <v>0.77793055093452956</v>
      </c>
      <c r="I88">
        <f t="shared" si="16"/>
        <v>160</v>
      </c>
      <c r="M88">
        <f t="shared" si="17"/>
        <v>160</v>
      </c>
      <c r="Q88">
        <f t="shared" si="18"/>
        <v>160</v>
      </c>
      <c r="U88">
        <f t="shared" si="19"/>
        <v>160</v>
      </c>
    </row>
    <row r="89" spans="1:21">
      <c r="A89">
        <f t="shared" si="14"/>
        <v>162</v>
      </c>
      <c r="B89" s="54">
        <f t="shared" si="11"/>
        <v>0.33758837121663443</v>
      </c>
      <c r="C89" s="54">
        <f t="shared" si="12"/>
        <v>0.51069795895682057</v>
      </c>
      <c r="E89">
        <f t="shared" si="15"/>
        <v>162</v>
      </c>
      <c r="F89" s="54">
        <f t="shared" si="13"/>
        <v>0.40506905318212505</v>
      </c>
      <c r="G89" s="54">
        <f t="shared" si="20"/>
        <v>0.77045521977312026</v>
      </c>
      <c r="I89">
        <f t="shared" si="16"/>
        <v>162</v>
      </c>
      <c r="M89">
        <f t="shared" si="17"/>
        <v>162</v>
      </c>
      <c r="Q89">
        <f t="shared" si="18"/>
        <v>162</v>
      </c>
      <c r="U89">
        <f t="shared" si="19"/>
        <v>162</v>
      </c>
    </row>
    <row r="90" spans="1:21">
      <c r="A90">
        <f t="shared" si="14"/>
        <v>164</v>
      </c>
      <c r="B90" s="54">
        <f t="shared" si="11"/>
        <v>0.33545555255227222</v>
      </c>
      <c r="C90" s="54">
        <f t="shared" si="12"/>
        <v>0.50372182344373961</v>
      </c>
      <c r="E90">
        <f t="shared" si="15"/>
        <v>164</v>
      </c>
      <c r="F90" s="54">
        <f t="shared" si="13"/>
        <v>0.40275754352866017</v>
      </c>
      <c r="G90" s="54">
        <f t="shared" si="20"/>
        <v>0.7628946123704331</v>
      </c>
      <c r="I90">
        <f t="shared" si="16"/>
        <v>164</v>
      </c>
      <c r="M90">
        <f t="shared" si="17"/>
        <v>164</v>
      </c>
      <c r="Q90">
        <f t="shared" si="18"/>
        <v>164</v>
      </c>
      <c r="U90">
        <f t="shared" si="19"/>
        <v>164</v>
      </c>
    </row>
    <row r="91" spans="1:21">
      <c r="A91">
        <f t="shared" si="14"/>
        <v>166</v>
      </c>
      <c r="B91" s="54">
        <f t="shared" si="11"/>
        <v>0.33356749676174835</v>
      </c>
      <c r="C91" s="54">
        <f t="shared" si="12"/>
        <v>0.4966755033059802</v>
      </c>
      <c r="E91">
        <f t="shared" si="15"/>
        <v>166</v>
      </c>
      <c r="F91" s="54">
        <f t="shared" si="13"/>
        <v>0.40071130337754013</v>
      </c>
      <c r="G91" s="54">
        <f t="shared" si="20"/>
        <v>0.7552579401619659</v>
      </c>
      <c r="I91">
        <f t="shared" si="16"/>
        <v>166</v>
      </c>
      <c r="M91">
        <f t="shared" si="17"/>
        <v>166</v>
      </c>
      <c r="Q91">
        <f t="shared" si="18"/>
        <v>166</v>
      </c>
      <c r="U91">
        <f t="shared" si="19"/>
        <v>166</v>
      </c>
    </row>
    <row r="92" spans="1:21">
      <c r="A92">
        <f t="shared" si="14"/>
        <v>168</v>
      </c>
      <c r="B92" s="54">
        <f t="shared" si="11"/>
        <v>0.33192650415021113</v>
      </c>
      <c r="C92" s="54">
        <f t="shared" si="12"/>
        <v>0.48956758339922807</v>
      </c>
      <c r="E92">
        <f t="shared" si="15"/>
        <v>168</v>
      </c>
      <c r="F92" s="54">
        <f t="shared" si="13"/>
        <v>0.39893282575719013</v>
      </c>
      <c r="G92" s="54">
        <f t="shared" si="20"/>
        <v>0.74755450725646566</v>
      </c>
      <c r="I92">
        <f t="shared" si="16"/>
        <v>168</v>
      </c>
      <c r="M92">
        <f t="shared" si="17"/>
        <v>168</v>
      </c>
      <c r="Q92">
        <f t="shared" si="18"/>
        <v>168</v>
      </c>
      <c r="U92">
        <f t="shared" si="19"/>
        <v>168</v>
      </c>
    </row>
    <row r="93" spans="1:21">
      <c r="A93">
        <f t="shared" si="14"/>
        <v>170</v>
      </c>
      <c r="B93" s="54">
        <f t="shared" si="11"/>
        <v>0.33053457401438202</v>
      </c>
      <c r="C93" s="54">
        <f t="shared" si="12"/>
        <v>0.48240672362899839</v>
      </c>
      <c r="E93">
        <f t="shared" si="15"/>
        <v>170</v>
      </c>
      <c r="F93" s="54">
        <f t="shared" si="13"/>
        <v>0.39742427746863707</v>
      </c>
      <c r="G93" s="54">
        <f t="shared" si="20"/>
        <v>0.73979369910030479</v>
      </c>
      <c r="I93">
        <f t="shared" si="16"/>
        <v>170</v>
      </c>
      <c r="M93">
        <f t="shared" si="17"/>
        <v>170</v>
      </c>
      <c r="Q93">
        <f t="shared" si="18"/>
        <v>170</v>
      </c>
      <c r="U93">
        <f t="shared" si="19"/>
        <v>170</v>
      </c>
    </row>
    <row r="94" spans="1:21">
      <c r="A94">
        <f t="shared" si="14"/>
        <v>172</v>
      </c>
      <c r="B94" s="54">
        <f t="shared" si="11"/>
        <v>0.3293934022067212</v>
      </c>
      <c r="C94" s="54">
        <f t="shared" si="12"/>
        <v>0.47520164839987539</v>
      </c>
      <c r="E94">
        <f t="shared" si="15"/>
        <v>172</v>
      </c>
      <c r="F94" s="54">
        <f t="shared" si="13"/>
        <v>0.39618749644559648</v>
      </c>
      <c r="G94" s="54">
        <f t="shared" si="20"/>
        <v>0.73198497104276083</v>
      </c>
      <c r="I94">
        <f t="shared" si="16"/>
        <v>172</v>
      </c>
      <c r="M94">
        <f t="shared" si="17"/>
        <v>172</v>
      </c>
      <c r="Q94">
        <f t="shared" si="18"/>
        <v>172</v>
      </c>
      <c r="U94">
        <f t="shared" si="19"/>
        <v>172</v>
      </c>
    </row>
    <row r="95" spans="1:21">
      <c r="A95">
        <f t="shared" si="14"/>
        <v>174</v>
      </c>
      <c r="B95" s="54">
        <f t="shared" si="11"/>
        <v>0.3285043790692922</v>
      </c>
      <c r="C95" s="54">
        <f t="shared" si="12"/>
        <v>0.46796113598616879</v>
      </c>
      <c r="E95">
        <f t="shared" si="15"/>
        <v>174</v>
      </c>
      <c r="F95" s="54">
        <f t="shared" si="13"/>
        <v>0.39522398951523341</v>
      </c>
      <c r="G95" s="54">
        <f t="shared" si="20"/>
        <v>0.72413783681612931</v>
      </c>
      <c r="I95">
        <f t="shared" si="16"/>
        <v>174</v>
      </c>
      <c r="M95">
        <f t="shared" si="17"/>
        <v>174</v>
      </c>
      <c r="Q95">
        <f t="shared" si="18"/>
        <v>174</v>
      </c>
      <c r="U95">
        <f t="shared" si="19"/>
        <v>174</v>
      </c>
    </row>
    <row r="96" spans="1:21">
      <c r="A96">
        <f t="shared" si="14"/>
        <v>176</v>
      </c>
      <c r="B96" s="54">
        <f t="shared" si="11"/>
        <v>0.32786858773984451</v>
      </c>
      <c r="C96" s="54">
        <f t="shared" si="12"/>
        <v>0.46069400783693942</v>
      </c>
      <c r="E96">
        <f t="shared" si="15"/>
        <v>176</v>
      </c>
      <c r="F96" s="54">
        <f t="shared" si="13"/>
        <v>0.39453493056232558</v>
      </c>
      <c r="G96" s="54">
        <f t="shared" si="20"/>
        <v>0.71626185694470712</v>
      </c>
      <c r="I96">
        <f t="shared" si="16"/>
        <v>176</v>
      </c>
      <c r="M96">
        <f t="shared" si="17"/>
        <v>176</v>
      </c>
      <c r="Q96">
        <f t="shared" si="18"/>
        <v>176</v>
      </c>
      <c r="U96">
        <f t="shared" si="19"/>
        <v>176</v>
      </c>
    </row>
    <row r="97" spans="1:21">
      <c r="A97">
        <f t="shared" si="14"/>
        <v>178</v>
      </c>
      <c r="B97" s="54">
        <f t="shared" si="11"/>
        <v>0.3274868028321769</v>
      </c>
      <c r="C97" s="54">
        <f t="shared" si="12"/>
        <v>0.45340911782842169</v>
      </c>
      <c r="E97">
        <f t="shared" si="15"/>
        <v>178</v>
      </c>
      <c r="F97" s="54">
        <f t="shared" si="13"/>
        <v>0.39412115909906575</v>
      </c>
      <c r="G97" s="54">
        <f t="shared" si="20"/>
        <v>0.70836662709676579</v>
      </c>
      <c r="I97">
        <f t="shared" si="16"/>
        <v>178</v>
      </c>
      <c r="M97">
        <f t="shared" si="17"/>
        <v>178</v>
      </c>
      <c r="Q97">
        <f t="shared" si="18"/>
        <v>178</v>
      </c>
      <c r="U97">
        <f t="shared" si="19"/>
        <v>178</v>
      </c>
    </row>
    <row r="98" spans="1:21">
      <c r="A98">
        <f t="shared" si="14"/>
        <v>180</v>
      </c>
      <c r="B98" s="54">
        <f t="shared" si="11"/>
        <v>0.32735948949238991</v>
      </c>
      <c r="C98" s="54">
        <f t="shared" si="12"/>
        <v>0.44611534147693993</v>
      </c>
      <c r="E98">
        <f t="shared" si="15"/>
        <v>180</v>
      </c>
      <c r="F98" s="54">
        <f t="shared" si="13"/>
        <v>0.39398317924224541</v>
      </c>
      <c r="G98" s="54">
        <f t="shared" si="20"/>
        <v>0.7004617663937085</v>
      </c>
      <c r="I98">
        <f t="shared" si="16"/>
        <v>180</v>
      </c>
      <c r="M98">
        <f t="shared" si="17"/>
        <v>180</v>
      </c>
      <c r="Q98">
        <f t="shared" si="18"/>
        <v>180</v>
      </c>
      <c r="U98">
        <f t="shared" si="19"/>
        <v>180</v>
      </c>
    </row>
    <row r="99" spans="1:21">
      <c r="A99">
        <f t="shared" si="14"/>
        <v>182</v>
      </c>
      <c r="B99" s="54">
        <f t="shared" si="11"/>
        <v>0.3274868028321769</v>
      </c>
      <c r="C99" s="54">
        <f t="shared" si="12"/>
        <v>0.43882156512545817</v>
      </c>
      <c r="E99">
        <f t="shared" si="15"/>
        <v>182</v>
      </c>
      <c r="F99" s="54">
        <f t="shared" si="13"/>
        <v>0.39412115909906575</v>
      </c>
      <c r="G99" s="54">
        <f t="shared" si="20"/>
        <v>0.69255690569065109</v>
      </c>
      <c r="I99">
        <f t="shared" si="16"/>
        <v>182</v>
      </c>
      <c r="M99">
        <f t="shared" si="17"/>
        <v>182</v>
      </c>
      <c r="Q99">
        <f t="shared" si="18"/>
        <v>182</v>
      </c>
      <c r="U99">
        <f t="shared" si="19"/>
        <v>182</v>
      </c>
    </row>
    <row r="100" spans="1:21">
      <c r="A100">
        <f t="shared" si="14"/>
        <v>184</v>
      </c>
      <c r="B100" s="54">
        <f t="shared" si="11"/>
        <v>0.32786858773984451</v>
      </c>
      <c r="C100" s="54">
        <f t="shared" si="12"/>
        <v>0.4315366751169406</v>
      </c>
      <c r="E100">
        <f t="shared" si="15"/>
        <v>184</v>
      </c>
      <c r="F100" s="54">
        <f t="shared" si="13"/>
        <v>0.39453493056232558</v>
      </c>
      <c r="G100" s="54">
        <f t="shared" si="20"/>
        <v>0.68466167584270998</v>
      </c>
      <c r="I100">
        <f t="shared" si="16"/>
        <v>184</v>
      </c>
      <c r="M100">
        <f t="shared" si="17"/>
        <v>184</v>
      </c>
      <c r="Q100">
        <f t="shared" si="18"/>
        <v>184</v>
      </c>
      <c r="U100">
        <f t="shared" si="19"/>
        <v>184</v>
      </c>
    </row>
    <row r="101" spans="1:21">
      <c r="A101">
        <f t="shared" si="14"/>
        <v>186</v>
      </c>
      <c r="B101" s="54">
        <f t="shared" si="11"/>
        <v>0.3285043790692922</v>
      </c>
      <c r="C101" s="54">
        <f t="shared" si="12"/>
        <v>0.42426954696771119</v>
      </c>
      <c r="E101">
        <f t="shared" si="15"/>
        <v>186</v>
      </c>
      <c r="F101" s="54">
        <f t="shared" si="13"/>
        <v>0.39522398951523335</v>
      </c>
      <c r="G101" s="54">
        <f t="shared" si="20"/>
        <v>0.67678569597128779</v>
      </c>
      <c r="I101">
        <f t="shared" si="16"/>
        <v>186</v>
      </c>
      <c r="M101">
        <f t="shared" si="17"/>
        <v>186</v>
      </c>
      <c r="Q101">
        <f t="shared" si="18"/>
        <v>186</v>
      </c>
      <c r="U101">
        <f t="shared" si="19"/>
        <v>186</v>
      </c>
    </row>
    <row r="102" spans="1:21">
      <c r="A102">
        <f t="shared" si="14"/>
        <v>188</v>
      </c>
      <c r="B102" s="54">
        <f t="shared" si="11"/>
        <v>0.3293934022067212</v>
      </c>
      <c r="C102" s="54">
        <f t="shared" si="12"/>
        <v>0.41702903455400453</v>
      </c>
      <c r="E102">
        <f t="shared" si="15"/>
        <v>188</v>
      </c>
      <c r="F102" s="54">
        <f t="shared" si="13"/>
        <v>0.39618749644559648</v>
      </c>
      <c r="G102" s="54">
        <f t="shared" si="20"/>
        <v>0.66893856174465627</v>
      </c>
      <c r="I102">
        <f t="shared" si="16"/>
        <v>188</v>
      </c>
      <c r="M102">
        <f t="shared" si="17"/>
        <v>188</v>
      </c>
      <c r="Q102">
        <f t="shared" si="18"/>
        <v>188</v>
      </c>
      <c r="U102">
        <f t="shared" si="19"/>
        <v>188</v>
      </c>
    </row>
    <row r="103" spans="1:21">
      <c r="A103">
        <f t="shared" si="14"/>
        <v>190</v>
      </c>
      <c r="B103" s="54">
        <f t="shared" si="11"/>
        <v>0.33053457401438202</v>
      </c>
      <c r="C103" s="54">
        <f t="shared" si="12"/>
        <v>0.40982395932488147</v>
      </c>
      <c r="E103">
        <f t="shared" si="15"/>
        <v>190</v>
      </c>
      <c r="F103" s="54">
        <f t="shared" si="13"/>
        <v>0.39742427746863707</v>
      </c>
      <c r="G103" s="54">
        <f t="shared" si="20"/>
        <v>0.66112983368711209</v>
      </c>
      <c r="I103">
        <f t="shared" si="16"/>
        <v>190</v>
      </c>
      <c r="M103">
        <f t="shared" si="17"/>
        <v>190</v>
      </c>
      <c r="Q103">
        <f t="shared" si="18"/>
        <v>190</v>
      </c>
      <c r="U103">
        <f t="shared" si="19"/>
        <v>190</v>
      </c>
    </row>
    <row r="104" spans="1:21">
      <c r="A104">
        <f t="shared" si="14"/>
        <v>192</v>
      </c>
      <c r="B104" s="54">
        <f t="shared" si="11"/>
        <v>0.33192650415021113</v>
      </c>
      <c r="C104" s="54">
        <f t="shared" si="12"/>
        <v>0.40266309955465185</v>
      </c>
      <c r="E104">
        <f t="shared" si="15"/>
        <v>192</v>
      </c>
      <c r="F104" s="54">
        <f t="shared" si="13"/>
        <v>0.39893282575719013</v>
      </c>
      <c r="G104" s="54">
        <f t="shared" si="20"/>
        <v>0.65336902553095133</v>
      </c>
      <c r="I104">
        <f t="shared" si="16"/>
        <v>192</v>
      </c>
      <c r="M104">
        <f t="shared" si="17"/>
        <v>192</v>
      </c>
      <c r="Q104">
        <f t="shared" si="18"/>
        <v>192</v>
      </c>
      <c r="U104">
        <f t="shared" si="19"/>
        <v>192</v>
      </c>
    </row>
    <row r="105" spans="1:21">
      <c r="A105">
        <f t="shared" si="14"/>
        <v>194</v>
      </c>
      <c r="B105" s="54">
        <f t="shared" si="11"/>
        <v>0.33356749676174835</v>
      </c>
      <c r="C105" s="54">
        <f t="shared" si="12"/>
        <v>0.39555517964789971</v>
      </c>
      <c r="E105">
        <f t="shared" si="15"/>
        <v>194</v>
      </c>
      <c r="F105" s="54">
        <f t="shared" si="13"/>
        <v>0.40071130337754013</v>
      </c>
      <c r="G105" s="54">
        <f t="shared" si="20"/>
        <v>0.64566559262545109</v>
      </c>
      <c r="I105">
        <f t="shared" si="16"/>
        <v>194</v>
      </c>
      <c r="M105">
        <f t="shared" si="17"/>
        <v>194</v>
      </c>
      <c r="Q105">
        <f t="shared" si="18"/>
        <v>194</v>
      </c>
      <c r="U105">
        <f t="shared" si="19"/>
        <v>194</v>
      </c>
    </row>
    <row r="106" spans="1:21">
      <c r="A106">
        <f t="shared" si="14"/>
        <v>196</v>
      </c>
      <c r="B106" s="54">
        <f t="shared" si="11"/>
        <v>0.33545555255227211</v>
      </c>
      <c r="C106" s="54">
        <f t="shared" si="12"/>
        <v>0.38850885951014041</v>
      </c>
      <c r="E106">
        <f t="shared" si="15"/>
        <v>196</v>
      </c>
      <c r="F106" s="54">
        <f t="shared" si="13"/>
        <v>0.40275754352866011</v>
      </c>
      <c r="G106" s="54">
        <f t="shared" si="20"/>
        <v>0.638028920416984</v>
      </c>
      <c r="I106">
        <f t="shared" si="16"/>
        <v>196</v>
      </c>
      <c r="M106">
        <f t="shared" si="17"/>
        <v>196</v>
      </c>
      <c r="Q106">
        <f t="shared" si="18"/>
        <v>196</v>
      </c>
      <c r="U106">
        <f t="shared" si="19"/>
        <v>196</v>
      </c>
    </row>
    <row r="107" spans="1:21">
      <c r="A107">
        <f t="shared" si="14"/>
        <v>198</v>
      </c>
      <c r="B107" s="54">
        <f t="shared" si="11"/>
        <v>0.33758837121663443</v>
      </c>
      <c r="C107" s="54">
        <f t="shared" si="12"/>
        <v>0.38153272399705923</v>
      </c>
      <c r="E107">
        <f t="shared" si="15"/>
        <v>198</v>
      </c>
      <c r="F107" s="54">
        <f t="shared" si="13"/>
        <v>0.40506905318212505</v>
      </c>
      <c r="G107" s="54">
        <f t="shared" si="20"/>
        <v>0.63046831301429673</v>
      </c>
      <c r="I107">
        <f t="shared" si="16"/>
        <v>198</v>
      </c>
      <c r="M107">
        <f t="shared" si="17"/>
        <v>198</v>
      </c>
      <c r="Q107">
        <f t="shared" si="18"/>
        <v>198</v>
      </c>
      <c r="U107">
        <f t="shared" si="19"/>
        <v>198</v>
      </c>
    </row>
    <row r="108" spans="1:21">
      <c r="A108">
        <f t="shared" si="14"/>
        <v>200</v>
      </c>
      <c r="B108" s="54">
        <f t="shared" si="11"/>
        <v>0.33996335424382806</v>
      </c>
      <c r="C108" s="54">
        <f t="shared" si="12"/>
        <v>0.37463527245518785</v>
      </c>
      <c r="E108">
        <f t="shared" si="15"/>
        <v>200</v>
      </c>
      <c r="F108" s="54">
        <f t="shared" si="13"/>
        <v>0.40764301611948295</v>
      </c>
      <c r="G108" s="54">
        <f t="shared" si="20"/>
        <v>0.62299298185288754</v>
      </c>
      <c r="I108">
        <f t="shared" si="16"/>
        <v>200</v>
      </c>
      <c r="M108">
        <f t="shared" si="17"/>
        <v>200</v>
      </c>
      <c r="Q108">
        <f t="shared" si="18"/>
        <v>200</v>
      </c>
      <c r="U108">
        <f t="shared" si="19"/>
        <v>200</v>
      </c>
    </row>
    <row r="109" spans="1:21">
      <c r="A109">
        <f t="shared" si="14"/>
        <v>202</v>
      </c>
      <c r="B109" s="54">
        <f t="shared" si="11"/>
        <v>0.34257760808287274</v>
      </c>
      <c r="C109" s="54">
        <f t="shared" si="12"/>
        <v>0.36782490836675885</v>
      </c>
      <c r="E109">
        <f t="shared" si="15"/>
        <v>202</v>
      </c>
      <c r="F109" s="54">
        <f t="shared" si="13"/>
        <v>0.41047629636338334</v>
      </c>
      <c r="G109" s="54">
        <f t="shared" si="20"/>
        <v>0.61561203447228974</v>
      </c>
      <c r="I109">
        <f t="shared" si="16"/>
        <v>202</v>
      </c>
      <c r="M109">
        <f t="shared" si="17"/>
        <v>202</v>
      </c>
      <c r="Q109">
        <f t="shared" si="18"/>
        <v>202</v>
      </c>
      <c r="U109">
        <f t="shared" si="19"/>
        <v>202</v>
      </c>
    </row>
    <row r="110" spans="1:21">
      <c r="A110">
        <f t="shared" si="14"/>
        <v>204</v>
      </c>
      <c r="B110" s="54">
        <f t="shared" si="11"/>
        <v>0.34542794766816032</v>
      </c>
      <c r="C110" s="54">
        <f t="shared" si="12"/>
        <v>0.36110992911135797</v>
      </c>
      <c r="E110">
        <f t="shared" si="15"/>
        <v>204</v>
      </c>
      <c r="F110" s="54">
        <f t="shared" si="13"/>
        <v>0.41356544199828227</v>
      </c>
      <c r="G110" s="54">
        <f t="shared" si="20"/>
        <v>0.60833446341993902</v>
      </c>
      <c r="I110">
        <f t="shared" si="16"/>
        <v>204</v>
      </c>
      <c r="M110">
        <f t="shared" si="17"/>
        <v>204</v>
      </c>
      <c r="Q110">
        <f t="shared" si="18"/>
        <v>204</v>
      </c>
      <c r="U110">
        <f t="shared" si="19"/>
        <v>204</v>
      </c>
    </row>
    <row r="111" spans="1:21">
      <c r="A111">
        <f t="shared" si="14"/>
        <v>206</v>
      </c>
      <c r="B111" s="54">
        <f t="shared" si="11"/>
        <v>0.34851090029996745</v>
      </c>
      <c r="C111" s="54">
        <f t="shared" si="12"/>
        <v>0.35449851585684444</v>
      </c>
      <c r="E111">
        <f t="shared" si="15"/>
        <v>206</v>
      </c>
      <c r="F111" s="54">
        <f t="shared" si="13"/>
        <v>0.41690668937607006</v>
      </c>
      <c r="G111" s="54">
        <f t="shared" si="20"/>
        <v>0.6011691352951386</v>
      </c>
      <c r="I111">
        <f t="shared" si="16"/>
        <v>206</v>
      </c>
      <c r="M111">
        <f t="shared" si="17"/>
        <v>206</v>
      </c>
      <c r="Q111">
        <f t="shared" si="18"/>
        <v>206</v>
      </c>
      <c r="U111">
        <f t="shared" si="19"/>
        <v>206</v>
      </c>
    </row>
    <row r="112" spans="1:21">
      <c r="A112">
        <f t="shared" si="14"/>
        <v>208</v>
      </c>
      <c r="B112" s="54">
        <f t="shared" si="11"/>
        <v>0.35182270987540465</v>
      </c>
      <c r="C112" s="54">
        <f t="shared" si="12"/>
        <v>0.34799872359185885</v>
      </c>
      <c r="E112">
        <f t="shared" si="15"/>
        <v>208</v>
      </c>
      <c r="F112" s="54">
        <f t="shared" si="13"/>
        <v>0.42049596770149666</v>
      </c>
      <c r="G112" s="54">
        <f t="shared" si="20"/>
        <v>0.59412477994647439</v>
      </c>
      <c r="I112">
        <f t="shared" si="16"/>
        <v>208</v>
      </c>
      <c r="M112">
        <f t="shared" si="17"/>
        <v>208</v>
      </c>
      <c r="Q112">
        <f t="shared" si="18"/>
        <v>208</v>
      </c>
      <c r="U112">
        <f t="shared" si="19"/>
        <v>208</v>
      </c>
    </row>
    <row r="113" spans="1:21">
      <c r="A113">
        <f t="shared" si="14"/>
        <v>210</v>
      </c>
      <c r="B113" s="54">
        <f t="shared" si="11"/>
        <v>0.35535934146464937</v>
      </c>
      <c r="C113" s="54">
        <f t="shared" si="12"/>
        <v>0.34161847131205991</v>
      </c>
      <c r="E113">
        <f t="shared" si="15"/>
        <v>210</v>
      </c>
      <c r="F113" s="54">
        <f t="shared" si="13"/>
        <v>0.42432890399180834</v>
      </c>
      <c r="G113" s="54">
        <f t="shared" si="20"/>
        <v>0.58720997983583922</v>
      </c>
      <c r="I113">
        <f t="shared" si="16"/>
        <v>210</v>
      </c>
      <c r="M113">
        <f t="shared" si="17"/>
        <v>210</v>
      </c>
      <c r="Q113">
        <f t="shared" si="18"/>
        <v>210</v>
      </c>
      <c r="U113">
        <f t="shared" si="19"/>
        <v>210</v>
      </c>
    </row>
    <row r="114" spans="1:21">
      <c r="A114">
        <f t="shared" si="14"/>
        <v>212</v>
      </c>
      <c r="B114" s="54">
        <f t="shared" si="11"/>
        <v>0.35911648622688641</v>
      </c>
      <c r="C114" s="54">
        <f t="shared" si="12"/>
        <v>0.33536553237204808</v>
      </c>
      <c r="E114">
        <f t="shared" si="15"/>
        <v>212</v>
      </c>
      <c r="F114" s="54">
        <f t="shared" si="13"/>
        <v>0.42840082840455407</v>
      </c>
      <c r="G114" s="54">
        <f t="shared" si="20"/>
        <v>0.58043315958202435</v>
      </c>
      <c r="I114">
        <f t="shared" si="16"/>
        <v>212</v>
      </c>
      <c r="M114">
        <f t="shared" si="17"/>
        <v>212</v>
      </c>
      <c r="Q114">
        <f t="shared" si="18"/>
        <v>212</v>
      </c>
      <c r="U114">
        <f t="shared" si="19"/>
        <v>212</v>
      </c>
    </row>
    <row r="115" spans="1:21">
      <c r="A115">
        <f t="shared" si="14"/>
        <v>214</v>
      </c>
      <c r="B115" s="54">
        <f t="shared" si="11"/>
        <v>0.36308956665996689</v>
      </c>
      <c r="C115" s="54">
        <f t="shared" si="12"/>
        <v>0.3292475250147302</v>
      </c>
      <c r="E115">
        <f t="shared" si="15"/>
        <v>214</v>
      </c>
      <c r="F115" s="54">
        <f t="shared" si="13"/>
        <v>0.43270677992706863</v>
      </c>
      <c r="G115" s="54">
        <f t="shared" si="20"/>
        <v>0.57380257569662008</v>
      </c>
      <c r="I115">
        <f t="shared" si="16"/>
        <v>214</v>
      </c>
      <c r="M115">
        <f t="shared" si="17"/>
        <v>214</v>
      </c>
      <c r="Q115">
        <f t="shared" si="18"/>
        <v>214</v>
      </c>
      <c r="U115">
        <f t="shared" si="19"/>
        <v>214</v>
      </c>
    </row>
    <row r="116" spans="1:21">
      <c r="A116">
        <f t="shared" si="14"/>
        <v>216</v>
      </c>
      <c r="B116" s="54">
        <f t="shared" si="11"/>
        <v>0.36727374217738917</v>
      </c>
      <c r="C116" s="54">
        <f t="shared" si="12"/>
        <v>0.32327190308966436</v>
      </c>
      <c r="E116">
        <f t="shared" si="15"/>
        <v>216</v>
      </c>
      <c r="F116" s="54">
        <f t="shared" si="13"/>
        <v>0.43724151242070297</v>
      </c>
      <c r="G116" s="54">
        <f t="shared" si="20"/>
        <v>0.56732630652472749</v>
      </c>
      <c r="I116">
        <f t="shared" si="16"/>
        <v>216</v>
      </c>
      <c r="M116">
        <f t="shared" si="17"/>
        <v>216</v>
      </c>
      <c r="Q116">
        <f t="shared" si="18"/>
        <v>216</v>
      </c>
      <c r="U116">
        <f t="shared" si="19"/>
        <v>216</v>
      </c>
    </row>
    <row r="117" spans="1:21">
      <c r="A117">
        <f t="shared" si="14"/>
        <v>218</v>
      </c>
      <c r="B117" s="54">
        <f t="shared" si="11"/>
        <v>0.37166391500580809</v>
      </c>
      <c r="C117" s="54">
        <f t="shared" si="12"/>
        <v>0.31744594697169248</v>
      </c>
      <c r="E117">
        <f t="shared" si="15"/>
        <v>218</v>
      </c>
      <c r="F117" s="54">
        <f t="shared" si="13"/>
        <v>0.44199950101243551</v>
      </c>
      <c r="G117" s="54">
        <f t="shared" si="20"/>
        <v>0.56101224240273984</v>
      </c>
      <c r="I117">
        <f t="shared" si="16"/>
        <v>218</v>
      </c>
      <c r="M117">
        <f t="shared" si="17"/>
        <v>218</v>
      </c>
      <c r="Q117">
        <f t="shared" si="18"/>
        <v>218</v>
      </c>
      <c r="U117">
        <f t="shared" si="19"/>
        <v>218</v>
      </c>
    </row>
    <row r="118" spans="1:21">
      <c r="A118">
        <f t="shared" si="14"/>
        <v>220</v>
      </c>
      <c r="B118" s="54">
        <f t="shared" si="11"/>
        <v>0.37625473639588658</v>
      </c>
      <c r="C118" s="54">
        <f t="shared" si="12"/>
        <v>0.31177675469092425</v>
      </c>
      <c r="E118">
        <f t="shared" si="15"/>
        <v>220</v>
      </c>
      <c r="F118" s="54">
        <f t="shared" si="13"/>
        <v>0.4469749488260793</v>
      </c>
      <c r="G118" s="54">
        <f t="shared" si="20"/>
        <v>0.55486807604518262</v>
      </c>
      <c r="I118">
        <f t="shared" si="16"/>
        <v>220</v>
      </c>
      <c r="M118">
        <f t="shared" si="17"/>
        <v>220</v>
      </c>
      <c r="Q118">
        <f t="shared" si="18"/>
        <v>220</v>
      </c>
      <c r="U118">
        <f t="shared" si="19"/>
        <v>220</v>
      </c>
    </row>
    <row r="119" spans="1:21">
      <c r="A119">
        <f t="shared" si="14"/>
        <v>222</v>
      </c>
      <c r="B119" s="54">
        <f t="shared" si="11"/>
        <v>0.38104061313892251</v>
      </c>
      <c r="C119" s="54">
        <f t="shared" si="12"/>
        <v>0.30627123328488193</v>
      </c>
      <c r="E119">
        <f t="shared" si="15"/>
        <v>222</v>
      </c>
      <c r="F119" s="54">
        <f t="shared" si="13"/>
        <v>0.45216179404488221</v>
      </c>
      <c r="G119" s="54">
        <f t="shared" si="20"/>
        <v>0.54890129317232628</v>
      </c>
      <c r="I119">
        <f t="shared" si="16"/>
        <v>222</v>
      </c>
      <c r="M119">
        <f t="shared" si="17"/>
        <v>222</v>
      </c>
      <c r="Q119">
        <f t="shared" si="18"/>
        <v>222</v>
      </c>
      <c r="U119">
        <f t="shared" si="19"/>
        <v>222</v>
      </c>
    </row>
    <row r="120" spans="1:21">
      <c r="A120">
        <f t="shared" si="14"/>
        <v>224</v>
      </c>
      <c r="B120" s="54">
        <f t="shared" si="11"/>
        <v>0.38601571438131244</v>
      </c>
      <c r="C120" s="54">
        <f t="shared" si="12"/>
        <v>0.30093609038333802</v>
      </c>
      <c r="E120">
        <f t="shared" si="15"/>
        <v>224</v>
      </c>
      <c r="F120" s="54">
        <f t="shared" si="13"/>
        <v>0.45755371729691752</v>
      </c>
      <c r="G120" s="54">
        <f t="shared" si="20"/>
        <v>0.54311916338998922</v>
      </c>
      <c r="I120">
        <f t="shared" si="16"/>
        <v>224</v>
      </c>
      <c r="M120">
        <f t="shared" si="17"/>
        <v>224</v>
      </c>
      <c r="Q120">
        <f t="shared" si="18"/>
        <v>224</v>
      </c>
      <c r="U120">
        <f t="shared" si="19"/>
        <v>224</v>
      </c>
    </row>
    <row r="121" spans="1:21">
      <c r="A121">
        <f t="shared" si="14"/>
        <v>226</v>
      </c>
      <c r="B121" s="54">
        <f t="shared" si="11"/>
        <v>0.39117397872854787</v>
      </c>
      <c r="C121" s="54">
        <f t="shared" si="12"/>
        <v>0.29577782603610259</v>
      </c>
      <c r="E121">
        <f t="shared" si="15"/>
        <v>226</v>
      </c>
      <c r="F121" s="54">
        <f t="shared" si="13"/>
        <v>0.46314414935426462</v>
      </c>
      <c r="G121" s="54">
        <f t="shared" si="20"/>
        <v>0.53752873133264212</v>
      </c>
      <c r="I121">
        <f t="shared" si="16"/>
        <v>226</v>
      </c>
      <c r="M121">
        <f t="shared" si="17"/>
        <v>226</v>
      </c>
      <c r="Q121">
        <f t="shared" si="18"/>
        <v>226</v>
      </c>
      <c r="U121">
        <f t="shared" si="19"/>
        <v>226</v>
      </c>
    </row>
    <row r="122" spans="1:21">
      <c r="A122">
        <f t="shared" si="14"/>
        <v>228</v>
      </c>
      <c r="B122" s="54">
        <f t="shared" si="11"/>
        <v>0.39650912163009178</v>
      </c>
      <c r="C122" s="54">
        <f t="shared" si="12"/>
        <v>0.29080272479371266</v>
      </c>
      <c r="E122">
        <f t="shared" si="15"/>
        <v>228</v>
      </c>
      <c r="F122" s="54">
        <f t="shared" si="13"/>
        <v>0.46892627913660179</v>
      </c>
      <c r="G122" s="54">
        <f t="shared" si="20"/>
        <v>0.53213680808060682</v>
      </c>
      <c r="I122">
        <f t="shared" si="16"/>
        <v>228</v>
      </c>
      <c r="M122">
        <f t="shared" si="17"/>
        <v>228</v>
      </c>
      <c r="Q122">
        <f t="shared" si="18"/>
        <v>228</v>
      </c>
      <c r="U122">
        <f t="shared" si="19"/>
        <v>228</v>
      </c>
    </row>
    <row r="123" spans="1:21">
      <c r="A123">
        <f t="shared" si="14"/>
        <v>230</v>
      </c>
      <c r="B123" s="54">
        <f t="shared" si="11"/>
        <v>0.4020146430361341</v>
      </c>
      <c r="C123" s="54">
        <f t="shared" si="12"/>
        <v>0.28601684805067673</v>
      </c>
      <c r="E123">
        <f t="shared" si="15"/>
        <v>230</v>
      </c>
      <c r="F123" s="54">
        <f t="shared" si="13"/>
        <v>0.47489306200945808</v>
      </c>
      <c r="G123" s="54">
        <f t="shared" si="20"/>
        <v>0.52694996286180384</v>
      </c>
      <c r="I123">
        <f t="shared" si="16"/>
        <v>230</v>
      </c>
      <c r="M123">
        <f t="shared" si="17"/>
        <v>230</v>
      </c>
      <c r="Q123">
        <f t="shared" si="18"/>
        <v>230</v>
      </c>
      <c r="U123">
        <f t="shared" si="19"/>
        <v>230</v>
      </c>
    </row>
    <row r="124" spans="1:21">
      <c r="A124">
        <f t="shared" si="14"/>
        <v>232</v>
      </c>
      <c r="B124" s="54">
        <f t="shared" si="11"/>
        <v>0.40768383531690233</v>
      </c>
      <c r="C124" s="54">
        <f t="shared" si="12"/>
        <v>0.28142602666059818</v>
      </c>
      <c r="E124">
        <f t="shared" si="15"/>
        <v>232</v>
      </c>
      <c r="F124" s="54">
        <f t="shared" si="13"/>
        <v>0.48103722836701535</v>
      </c>
      <c r="G124" s="54">
        <f t="shared" si="20"/>
        <v>0.52197451504816006</v>
      </c>
      <c r="I124">
        <f t="shared" si="16"/>
        <v>232</v>
      </c>
      <c r="M124">
        <f t="shared" si="17"/>
        <v>232</v>
      </c>
      <c r="Q124">
        <f t="shared" si="18"/>
        <v>232</v>
      </c>
      <c r="U124">
        <f t="shared" si="19"/>
        <v>232</v>
      </c>
    </row>
    <row r="125" spans="1:21">
      <c r="A125">
        <f t="shared" si="14"/>
        <v>234</v>
      </c>
      <c r="B125" s="54">
        <f t="shared" si="11"/>
        <v>0.41350979143487421</v>
      </c>
      <c r="C125" s="54">
        <f t="shared" si="12"/>
        <v>0.27703585383217932</v>
      </c>
      <c r="E125">
        <f t="shared" si="15"/>
        <v>234</v>
      </c>
      <c r="F125" s="54">
        <f t="shared" si="13"/>
        <v>0.48735129248900294</v>
      </c>
      <c r="G125" s="54">
        <f t="shared" si="20"/>
        <v>0.51721652645642746</v>
      </c>
      <c r="I125">
        <f t="shared" si="16"/>
        <v>234</v>
      </c>
      <c r="M125">
        <f t="shared" si="17"/>
        <v>234</v>
      </c>
      <c r="Q125">
        <f t="shared" si="18"/>
        <v>234</v>
      </c>
      <c r="U125">
        <f t="shared" si="19"/>
        <v>234</v>
      </c>
    </row>
    <row r="126" spans="1:21">
      <c r="A126">
        <f t="shared" si="14"/>
        <v>236</v>
      </c>
      <c r="B126" s="54">
        <f t="shared" si="11"/>
        <v>0.41948541335993994</v>
      </c>
      <c r="C126" s="54">
        <f t="shared" si="12"/>
        <v>0.2728516783147571</v>
      </c>
      <c r="E126">
        <f t="shared" si="15"/>
        <v>236</v>
      </c>
      <c r="F126" s="54">
        <f t="shared" si="13"/>
        <v>0.49382756166089548</v>
      </c>
      <c r="G126" s="54">
        <f t="shared" si="20"/>
        <v>0.51268179396279323</v>
      </c>
      <c r="I126">
        <f t="shared" si="16"/>
        <v>236</v>
      </c>
      <c r="M126">
        <f t="shared" si="17"/>
        <v>236</v>
      </c>
      <c r="Q126">
        <f t="shared" si="18"/>
        <v>236</v>
      </c>
      <c r="U126">
        <f t="shared" si="19"/>
        <v>236</v>
      </c>
    </row>
    <row r="127" spans="1:21">
      <c r="A127">
        <f t="shared" si="14"/>
        <v>238</v>
      </c>
      <c r="B127" s="54">
        <f t="shared" si="11"/>
        <v>0.42560342071725793</v>
      </c>
      <c r="C127" s="54">
        <f t="shared" si="12"/>
        <v>0.26887859788167656</v>
      </c>
      <c r="E127">
        <f t="shared" si="15"/>
        <v>238</v>
      </c>
      <c r="F127" s="54">
        <f t="shared" si="13"/>
        <v>0.50045814554629986</v>
      </c>
      <c r="G127" s="54">
        <f t="shared" si="20"/>
        <v>0.50837584244027856</v>
      </c>
      <c r="I127">
        <f t="shared" si="16"/>
        <v>238</v>
      </c>
      <c r="M127">
        <f t="shared" si="17"/>
        <v>238</v>
      </c>
      <c r="Q127">
        <f t="shared" si="18"/>
        <v>238</v>
      </c>
      <c r="U127">
        <f t="shared" si="19"/>
        <v>238</v>
      </c>
    </row>
    <row r="128" spans="1:21">
      <c r="A128">
        <f t="shared" si="14"/>
        <v>240</v>
      </c>
      <c r="B128" s="54">
        <f t="shared" si="11"/>
        <v>0.43185635965726976</v>
      </c>
      <c r="C128" s="54">
        <f t="shared" si="12"/>
        <v>0.26512145311943947</v>
      </c>
      <c r="E128">
        <f t="shared" si="15"/>
        <v>240</v>
      </c>
      <c r="F128" s="54">
        <f t="shared" si="13"/>
        <v>0.50723496580011462</v>
      </c>
      <c r="G128" s="54">
        <f t="shared" si="20"/>
        <v>0.50430391802753294</v>
      </c>
      <c r="I128">
        <f t="shared" si="16"/>
        <v>240</v>
      </c>
      <c r="M128">
        <f t="shared" si="17"/>
        <v>240</v>
      </c>
      <c r="Q128">
        <f t="shared" si="18"/>
        <v>240</v>
      </c>
      <c r="U128">
        <f t="shared" si="19"/>
        <v>240</v>
      </c>
    </row>
    <row r="129" spans="1:21">
      <c r="A129">
        <f t="shared" si="14"/>
        <v>242</v>
      </c>
      <c r="B129" s="54">
        <f t="shared" si="11"/>
        <v>0.43823661193706875</v>
      </c>
      <c r="C129" s="54">
        <f t="shared" si="12"/>
        <v>0.26158482153019469</v>
      </c>
      <c r="E129">
        <f t="shared" si="15"/>
        <v>242</v>
      </c>
      <c r="F129" s="54">
        <f t="shared" si="13"/>
        <v>0.5141497659107499</v>
      </c>
      <c r="G129" s="54">
        <f t="shared" si="20"/>
        <v>0.50047098173722115</v>
      </c>
      <c r="I129">
        <f t="shared" si="16"/>
        <v>242</v>
      </c>
      <c r="M129">
        <f t="shared" si="17"/>
        <v>242</v>
      </c>
      <c r="Q129">
        <f t="shared" si="18"/>
        <v>242</v>
      </c>
      <c r="U129">
        <f t="shared" si="19"/>
        <v>242</v>
      </c>
    </row>
    <row r="130" spans="1:21">
      <c r="A130">
        <f t="shared" si="14"/>
        <v>244</v>
      </c>
      <c r="B130" s="54">
        <f t="shared" si="11"/>
        <v>0.44473640420205424</v>
      </c>
      <c r="C130" s="54">
        <f t="shared" si="12"/>
        <v>0.2582730119547576</v>
      </c>
      <c r="E130">
        <f t="shared" si="15"/>
        <v>244</v>
      </c>
      <c r="F130" s="54">
        <f t="shared" si="13"/>
        <v>0.521194121259414</v>
      </c>
      <c r="G130" s="54">
        <f t="shared" si="20"/>
        <v>0.49688170341179461</v>
      </c>
      <c r="I130">
        <f t="shared" si="16"/>
        <v>244</v>
      </c>
      <c r="M130">
        <f t="shared" si="17"/>
        <v>244</v>
      </c>
      <c r="Q130">
        <f t="shared" si="18"/>
        <v>244</v>
      </c>
      <c r="U130">
        <f t="shared" si="19"/>
        <v>244</v>
      </c>
    </row>
    <row r="131" spans="1:21">
      <c r="A131">
        <f t="shared" si="14"/>
        <v>246</v>
      </c>
      <c r="B131" s="54">
        <f t="shared" si="11"/>
        <v>0.45134781745656782</v>
      </c>
      <c r="C131" s="54">
        <f t="shared" si="12"/>
        <v>0.25519005932295047</v>
      </c>
      <c r="E131">
        <f t="shared" si="15"/>
        <v>246</v>
      </c>
      <c r="F131" s="54">
        <f t="shared" si="13"/>
        <v>0.52835944938421442</v>
      </c>
      <c r="G131" s="54">
        <f t="shared" si="20"/>
        <v>0.49354045603400676</v>
      </c>
      <c r="I131">
        <f t="shared" si="16"/>
        <v>246</v>
      </c>
      <c r="M131">
        <f t="shared" si="17"/>
        <v>246</v>
      </c>
      <c r="Q131">
        <f t="shared" si="18"/>
        <v>246</v>
      </c>
      <c r="U131">
        <f t="shared" si="19"/>
        <v>246</v>
      </c>
    </row>
    <row r="132" spans="1:21">
      <c r="A132">
        <f t="shared" si="14"/>
        <v>248</v>
      </c>
      <c r="B132" s="54">
        <f t="shared" si="11"/>
        <v>0.4580627967119687</v>
      </c>
      <c r="C132" s="54">
        <f t="shared" si="12"/>
        <v>0.25233971973766289</v>
      </c>
      <c r="E132">
        <f t="shared" si="15"/>
        <v>248</v>
      </c>
      <c r="F132" s="54">
        <f t="shared" si="13"/>
        <v>0.53563702043656514</v>
      </c>
      <c r="G132" s="54">
        <f t="shared" si="20"/>
        <v>0.49045131039910783</v>
      </c>
      <c r="I132">
        <f t="shared" si="16"/>
        <v>248</v>
      </c>
      <c r="M132">
        <f t="shared" si="17"/>
        <v>248</v>
      </c>
      <c r="Q132">
        <f t="shared" si="18"/>
        <v>248</v>
      </c>
      <c r="U132">
        <f t="shared" si="19"/>
        <v>248</v>
      </c>
    </row>
    <row r="133" spans="1:21">
      <c r="A133">
        <f t="shared" si="14"/>
        <v>250</v>
      </c>
      <c r="B133" s="54">
        <f t="shared" si="11"/>
        <v>0.46487316080039759</v>
      </c>
      <c r="C133" s="54">
        <f t="shared" si="12"/>
        <v>0.24972546589861824</v>
      </c>
      <c r="E133">
        <f t="shared" si="15"/>
        <v>250</v>
      </c>
      <c r="F133" s="54">
        <f t="shared" si="13"/>
        <v>0.54301796781716283</v>
      </c>
      <c r="G133" s="54">
        <f t="shared" si="20"/>
        <v>0.48761803015520755</v>
      </c>
      <c r="I133">
        <f t="shared" si="16"/>
        <v>250</v>
      </c>
      <c r="M133">
        <f t="shared" si="17"/>
        <v>250</v>
      </c>
      <c r="Q133">
        <f t="shared" si="18"/>
        <v>250</v>
      </c>
      <c r="U133">
        <f t="shared" si="19"/>
        <v>250</v>
      </c>
    </row>
    <row r="134" spans="1:21">
      <c r="A134">
        <f t="shared" si="14"/>
        <v>252</v>
      </c>
      <c r="B134" s="54">
        <f t="shared" si="11"/>
        <v>0.47177061234226914</v>
      </c>
      <c r="C134" s="54">
        <f t="shared" si="12"/>
        <v>0.2473504828714245</v>
      </c>
      <c r="E134">
        <f t="shared" si="15"/>
        <v>252</v>
      </c>
      <c r="F134" s="54">
        <f t="shared" si="13"/>
        <v>0.55049329897857224</v>
      </c>
      <c r="G134" s="54">
        <f t="shared" si="20"/>
        <v>0.48504406721784954</v>
      </c>
      <c r="I134">
        <f t="shared" si="16"/>
        <v>252</v>
      </c>
      <c r="M134">
        <f t="shared" si="17"/>
        <v>252</v>
      </c>
      <c r="Q134">
        <f t="shared" si="18"/>
        <v>252</v>
      </c>
      <c r="U134">
        <f t="shared" si="19"/>
        <v>252</v>
      </c>
    </row>
    <row r="135" spans="1:21">
      <c r="A135">
        <f t="shared" si="14"/>
        <v>254</v>
      </c>
      <c r="B135" s="54">
        <f t="shared" si="11"/>
        <v>0.47874674785535032</v>
      </c>
      <c r="C135" s="54">
        <f t="shared" si="12"/>
        <v>0.24521766420706223</v>
      </c>
      <c r="E135">
        <f t="shared" si="15"/>
        <v>254</v>
      </c>
      <c r="F135" s="54">
        <f t="shared" si="13"/>
        <v>0.55805390638125951</v>
      </c>
      <c r="G135" s="54">
        <f t="shared" si="20"/>
        <v>0.4827325575643846</v>
      </c>
      <c r="I135">
        <f t="shared" si="16"/>
        <v>254</v>
      </c>
      <c r="M135">
        <f t="shared" si="17"/>
        <v>254</v>
      </c>
      <c r="Q135">
        <f t="shared" si="18"/>
        <v>254</v>
      </c>
      <c r="U135">
        <f t="shared" si="19"/>
        <v>254</v>
      </c>
    </row>
    <row r="136" spans="1:21">
      <c r="A136">
        <f t="shared" si="14"/>
        <v>256</v>
      </c>
      <c r="B136" s="54">
        <f t="shared" si="11"/>
        <v>0.48579306799310956</v>
      </c>
      <c r="C136" s="54">
        <f t="shared" si="12"/>
        <v>0.24332960841653847</v>
      </c>
      <c r="E136">
        <f t="shared" si="15"/>
        <v>256</v>
      </c>
      <c r="F136" s="54">
        <f t="shared" si="13"/>
        <v>0.5656905785897266</v>
      </c>
      <c r="G136" s="54">
        <f t="shared" si="20"/>
        <v>0.48068631741326462</v>
      </c>
      <c r="I136">
        <f t="shared" si="16"/>
        <v>256</v>
      </c>
      <c r="M136">
        <f t="shared" si="17"/>
        <v>256</v>
      </c>
      <c r="Q136">
        <f t="shared" si="18"/>
        <v>256</v>
      </c>
      <c r="U136">
        <f t="shared" si="19"/>
        <v>256</v>
      </c>
    </row>
    <row r="137" spans="1:21">
      <c r="A137">
        <f t="shared" si="14"/>
        <v>258</v>
      </c>
      <c r="B137" s="54">
        <f t="shared" ref="B137:B188" si="21">$F$2*COS(A137*PI()/180)+$F$3</f>
        <v>0.49290098789986159</v>
      </c>
      <c r="C137" s="54">
        <f t="shared" ref="C137:C188" si="22">$F$2*SIN(A137*PI()/180)+$F$4</f>
        <v>0.24168861580500126</v>
      </c>
      <c r="E137">
        <f t="shared" si="15"/>
        <v>258</v>
      </c>
      <c r="F137" s="54">
        <f t="shared" ref="F137:F188" si="23">$I$2*COS(E137*PI()/180)+$I$3</f>
        <v>0.57339401149522673</v>
      </c>
      <c r="G137" s="54">
        <f t="shared" si="20"/>
        <v>0.47890783979291468</v>
      </c>
      <c r="I137">
        <f t="shared" si="16"/>
        <v>258</v>
      </c>
      <c r="M137">
        <f t="shared" si="17"/>
        <v>258</v>
      </c>
      <c r="Q137">
        <f t="shared" si="18"/>
        <v>258</v>
      </c>
      <c r="U137">
        <f t="shared" si="19"/>
        <v>258</v>
      </c>
    </row>
    <row r="138" spans="1:21">
      <c r="A138">
        <f t="shared" ref="A138:A169" si="24">A137+2</f>
        <v>260</v>
      </c>
      <c r="B138" s="54">
        <f t="shared" si="21"/>
        <v>0.50006184767009132</v>
      </c>
      <c r="C138" s="54">
        <f t="shared" si="22"/>
        <v>0.24029668566917214</v>
      </c>
      <c r="E138">
        <f t="shared" ref="E138:E169" si="25">E137+2</f>
        <v>260</v>
      </c>
      <c r="F138" s="54">
        <f t="shared" si="23"/>
        <v>0.58115481965138771</v>
      </c>
      <c r="G138" s="54">
        <f t="shared" si="20"/>
        <v>0.47739929150436156</v>
      </c>
      <c r="I138">
        <f t="shared" ref="I138:I169" si="26">I137+2</f>
        <v>260</v>
      </c>
      <c r="M138">
        <f t="shared" ref="M138:M169" si="27">M137+2</f>
        <v>260</v>
      </c>
      <c r="Q138">
        <f t="shared" ref="Q138:Q169" si="28">Q137+2</f>
        <v>260</v>
      </c>
      <c r="U138">
        <f t="shared" ref="U138:U169" si="29">U137+2</f>
        <v>260</v>
      </c>
    </row>
    <row r="139" spans="1:21">
      <c r="A139">
        <f t="shared" si="24"/>
        <v>262</v>
      </c>
      <c r="B139" s="54">
        <f t="shared" si="21"/>
        <v>0.5072669228992146</v>
      </c>
      <c r="C139" s="54">
        <f t="shared" si="22"/>
        <v>0.23915551386151129</v>
      </c>
      <c r="E139">
        <f t="shared" si="25"/>
        <v>262</v>
      </c>
      <c r="F139" s="54">
        <f t="shared" si="23"/>
        <v>0.58896354770893189</v>
      </c>
      <c r="G139" s="54">
        <f t="shared" si="20"/>
        <v>0.47616251048132097</v>
      </c>
      <c r="I139">
        <f t="shared" si="26"/>
        <v>262</v>
      </c>
      <c r="M139">
        <f t="shared" si="27"/>
        <v>262</v>
      </c>
      <c r="Q139">
        <f t="shared" si="28"/>
        <v>262</v>
      </c>
      <c r="U139">
        <f t="shared" si="29"/>
        <v>262</v>
      </c>
    </row>
    <row r="140" spans="1:21">
      <c r="A140">
        <f t="shared" si="24"/>
        <v>264</v>
      </c>
      <c r="B140" s="54">
        <f t="shared" si="21"/>
        <v>0.51450743531292109</v>
      </c>
      <c r="C140" s="54">
        <f t="shared" si="22"/>
        <v>0.23826649072408229</v>
      </c>
      <c r="E140">
        <f t="shared" si="25"/>
        <v>264</v>
      </c>
      <c r="F140" s="54">
        <f t="shared" si="23"/>
        <v>0.5968106819355633</v>
      </c>
      <c r="G140" s="54">
        <f t="shared" si="20"/>
        <v>0.47519900355095784</v>
      </c>
      <c r="I140">
        <f t="shared" si="26"/>
        <v>264</v>
      </c>
      <c r="M140">
        <f t="shared" si="27"/>
        <v>264</v>
      </c>
      <c r="Q140">
        <f t="shared" si="28"/>
        <v>264</v>
      </c>
      <c r="U140">
        <f t="shared" si="29"/>
        <v>264</v>
      </c>
    </row>
    <row r="141" spans="1:21">
      <c r="A141">
        <f t="shared" si="24"/>
        <v>266</v>
      </c>
      <c r="B141" s="54">
        <f t="shared" si="21"/>
        <v>0.52177456346215034</v>
      </c>
      <c r="C141" s="54">
        <f t="shared" si="22"/>
        <v>0.23763069939463463</v>
      </c>
      <c r="E141">
        <f t="shared" si="25"/>
        <v>266</v>
      </c>
      <c r="F141" s="54">
        <f t="shared" si="23"/>
        <v>0.60468666180698538</v>
      </c>
      <c r="G141" s="54">
        <f t="shared" si="20"/>
        <v>0.47450994459805007</v>
      </c>
      <c r="I141">
        <f t="shared" si="26"/>
        <v>266</v>
      </c>
      <c r="M141">
        <f t="shared" si="27"/>
        <v>266</v>
      </c>
      <c r="Q141">
        <f t="shared" si="28"/>
        <v>266</v>
      </c>
      <c r="U141">
        <f t="shared" si="29"/>
        <v>266</v>
      </c>
    </row>
    <row r="142" spans="1:21">
      <c r="A142">
        <f t="shared" si="24"/>
        <v>268</v>
      </c>
      <c r="B142" s="54">
        <f t="shared" si="21"/>
        <v>0.52905945347066785</v>
      </c>
      <c r="C142" s="54">
        <f t="shared" si="22"/>
        <v>0.237248914486967</v>
      </c>
      <c r="E142">
        <f t="shared" si="25"/>
        <v>268</v>
      </c>
      <c r="F142" s="54">
        <f t="shared" si="23"/>
        <v>0.61258189165492649</v>
      </c>
      <c r="G142" s="54">
        <f t="shared" si="20"/>
        <v>0.4740961731347903</v>
      </c>
      <c r="I142">
        <f t="shared" si="26"/>
        <v>268</v>
      </c>
      <c r="M142">
        <f t="shared" si="27"/>
        <v>268</v>
      </c>
      <c r="Q142">
        <f t="shared" si="28"/>
        <v>268</v>
      </c>
      <c r="U142">
        <f t="shared" si="29"/>
        <v>268</v>
      </c>
    </row>
    <row r="143" spans="1:21">
      <c r="A143">
        <f t="shared" si="24"/>
        <v>270</v>
      </c>
      <c r="B143" s="54">
        <f t="shared" si="21"/>
        <v>0.53635322982214984</v>
      </c>
      <c r="C143" s="54">
        <f t="shared" si="22"/>
        <v>0.23712160114717998</v>
      </c>
      <c r="E143">
        <f t="shared" si="25"/>
        <v>270</v>
      </c>
      <c r="F143" s="54">
        <f t="shared" si="23"/>
        <v>0.62048675235798401</v>
      </c>
      <c r="G143" s="54">
        <f t="shared" si="20"/>
        <v>0.4739581932779699</v>
      </c>
      <c r="I143">
        <f t="shared" si="26"/>
        <v>270</v>
      </c>
      <c r="M143">
        <f t="shared" si="27"/>
        <v>270</v>
      </c>
      <c r="Q143">
        <f t="shared" si="28"/>
        <v>270</v>
      </c>
      <c r="U143">
        <f t="shared" si="29"/>
        <v>270</v>
      </c>
    </row>
    <row r="144" spans="1:21">
      <c r="A144">
        <f t="shared" si="24"/>
        <v>272</v>
      </c>
      <c r="B144" s="54">
        <f t="shared" si="21"/>
        <v>0.54364700617363171</v>
      </c>
      <c r="C144" s="54">
        <f t="shared" si="22"/>
        <v>0.23724891448696697</v>
      </c>
      <c r="E144">
        <f t="shared" si="25"/>
        <v>272</v>
      </c>
      <c r="F144" s="54">
        <f t="shared" si="23"/>
        <v>0.62839161306104152</v>
      </c>
      <c r="G144" s="54">
        <f t="shared" si="20"/>
        <v>0.47409617313479024</v>
      </c>
      <c r="I144">
        <f t="shared" si="26"/>
        <v>272</v>
      </c>
      <c r="M144">
        <f t="shared" si="27"/>
        <v>272</v>
      </c>
      <c r="Q144">
        <f t="shared" si="28"/>
        <v>272</v>
      </c>
      <c r="U144">
        <f t="shared" si="29"/>
        <v>272</v>
      </c>
    </row>
    <row r="145" spans="1:21">
      <c r="A145">
        <f t="shared" si="24"/>
        <v>274</v>
      </c>
      <c r="B145" s="54">
        <f t="shared" si="21"/>
        <v>0.55093189618214922</v>
      </c>
      <c r="C145" s="54">
        <f t="shared" si="22"/>
        <v>0.2376306993946346</v>
      </c>
      <c r="E145">
        <f t="shared" si="25"/>
        <v>274</v>
      </c>
      <c r="F145" s="54">
        <f t="shared" si="23"/>
        <v>0.63628684290898252</v>
      </c>
      <c r="G145" s="54">
        <f t="shared" si="20"/>
        <v>0.47450994459805007</v>
      </c>
      <c r="I145">
        <f t="shared" si="26"/>
        <v>274</v>
      </c>
      <c r="M145">
        <f t="shared" si="27"/>
        <v>274</v>
      </c>
      <c r="Q145">
        <f t="shared" si="28"/>
        <v>274</v>
      </c>
      <c r="U145">
        <f t="shared" si="29"/>
        <v>274</v>
      </c>
    </row>
    <row r="146" spans="1:21">
      <c r="A146">
        <f t="shared" si="24"/>
        <v>276</v>
      </c>
      <c r="B146" s="54">
        <f t="shared" si="21"/>
        <v>0.55819902433137858</v>
      </c>
      <c r="C146" s="54">
        <f t="shared" si="22"/>
        <v>0.23826649072408229</v>
      </c>
      <c r="E146">
        <f t="shared" si="25"/>
        <v>276</v>
      </c>
      <c r="F146" s="54">
        <f t="shared" si="23"/>
        <v>0.6441628227804046</v>
      </c>
      <c r="G146" s="54">
        <f t="shared" si="20"/>
        <v>0.47519900355095784</v>
      </c>
      <c r="I146">
        <f t="shared" si="26"/>
        <v>276</v>
      </c>
      <c r="M146">
        <f t="shared" si="27"/>
        <v>276</v>
      </c>
      <c r="Q146">
        <f t="shared" si="28"/>
        <v>276</v>
      </c>
      <c r="U146">
        <f t="shared" si="29"/>
        <v>276</v>
      </c>
    </row>
    <row r="147" spans="1:21">
      <c r="A147">
        <f t="shared" si="24"/>
        <v>278</v>
      </c>
      <c r="B147" s="54">
        <f t="shared" si="21"/>
        <v>0.56543953674508518</v>
      </c>
      <c r="C147" s="54">
        <f t="shared" si="22"/>
        <v>0.23915551386151129</v>
      </c>
      <c r="E147">
        <f t="shared" si="25"/>
        <v>278</v>
      </c>
      <c r="F147" s="54">
        <f t="shared" si="23"/>
        <v>0.65200995700703623</v>
      </c>
      <c r="G147" s="54">
        <f t="shared" ref="G147:G188" si="30">$I$2*SIN(E147*PI()/180)+$I$4</f>
        <v>0.47616251048132097</v>
      </c>
      <c r="I147">
        <f t="shared" si="26"/>
        <v>278</v>
      </c>
      <c r="M147">
        <f t="shared" si="27"/>
        <v>278</v>
      </c>
      <c r="Q147">
        <f t="shared" si="28"/>
        <v>278</v>
      </c>
      <c r="U147">
        <f t="shared" si="29"/>
        <v>278</v>
      </c>
    </row>
    <row r="148" spans="1:21">
      <c r="A148">
        <f t="shared" si="24"/>
        <v>280</v>
      </c>
      <c r="B148" s="54">
        <f t="shared" si="21"/>
        <v>0.57264461197420824</v>
      </c>
      <c r="C148" s="54">
        <f t="shared" si="22"/>
        <v>0.24029668566917212</v>
      </c>
      <c r="E148">
        <f t="shared" si="25"/>
        <v>280</v>
      </c>
      <c r="F148" s="54">
        <f t="shared" si="23"/>
        <v>0.65981868506458019</v>
      </c>
      <c r="G148" s="54">
        <f t="shared" si="30"/>
        <v>0.47739929150436156</v>
      </c>
      <c r="I148">
        <f t="shared" si="26"/>
        <v>280</v>
      </c>
      <c r="M148">
        <f t="shared" si="27"/>
        <v>280</v>
      </c>
      <c r="Q148">
        <f t="shared" si="28"/>
        <v>280</v>
      </c>
      <c r="U148">
        <f t="shared" si="29"/>
        <v>280</v>
      </c>
    </row>
    <row r="149" spans="1:21">
      <c r="A149">
        <f t="shared" si="24"/>
        <v>282</v>
      </c>
      <c r="B149" s="54">
        <f t="shared" si="21"/>
        <v>0.57980547174443786</v>
      </c>
      <c r="C149" s="54">
        <f t="shared" si="22"/>
        <v>0.2416886158050012</v>
      </c>
      <c r="E149">
        <f t="shared" si="25"/>
        <v>282</v>
      </c>
      <c r="F149" s="54">
        <f t="shared" si="23"/>
        <v>0.66757949322074106</v>
      </c>
      <c r="G149" s="54">
        <f t="shared" si="30"/>
        <v>0.47890783979291462</v>
      </c>
      <c r="I149">
        <f t="shared" si="26"/>
        <v>282</v>
      </c>
      <c r="M149">
        <f t="shared" si="27"/>
        <v>282</v>
      </c>
      <c r="Q149">
        <f t="shared" si="28"/>
        <v>282</v>
      </c>
      <c r="U149">
        <f t="shared" si="29"/>
        <v>282</v>
      </c>
    </row>
    <row r="150" spans="1:21">
      <c r="A150">
        <f t="shared" si="24"/>
        <v>284</v>
      </c>
      <c r="B150" s="54">
        <f t="shared" si="21"/>
        <v>0.58691339165119005</v>
      </c>
      <c r="C150" s="54">
        <f t="shared" si="22"/>
        <v>0.24332960841653847</v>
      </c>
      <c r="E150">
        <f t="shared" si="25"/>
        <v>284</v>
      </c>
      <c r="F150" s="54">
        <f t="shared" si="23"/>
        <v>0.67528292612624141</v>
      </c>
      <c r="G150" s="54">
        <f t="shared" si="30"/>
        <v>0.48068631741326462</v>
      </c>
      <c r="I150">
        <f t="shared" si="26"/>
        <v>284</v>
      </c>
      <c r="M150">
        <f t="shared" si="27"/>
        <v>284</v>
      </c>
      <c r="Q150">
        <f t="shared" si="28"/>
        <v>284</v>
      </c>
      <c r="U150">
        <f t="shared" si="29"/>
        <v>284</v>
      </c>
    </row>
    <row r="151" spans="1:21">
      <c r="A151">
        <f t="shared" si="24"/>
        <v>286</v>
      </c>
      <c r="B151" s="54">
        <f t="shared" si="21"/>
        <v>0.59395971178894946</v>
      </c>
      <c r="C151" s="54">
        <f t="shared" si="22"/>
        <v>0.24521766420706226</v>
      </c>
      <c r="E151">
        <f t="shared" si="25"/>
        <v>286</v>
      </c>
      <c r="F151" s="54">
        <f t="shared" si="23"/>
        <v>0.68291959833470861</v>
      </c>
      <c r="G151" s="54">
        <f t="shared" si="30"/>
        <v>0.4827325575643846</v>
      </c>
      <c r="I151">
        <f t="shared" si="26"/>
        <v>286</v>
      </c>
      <c r="M151">
        <f t="shared" si="27"/>
        <v>286</v>
      </c>
      <c r="Q151">
        <f t="shared" si="28"/>
        <v>286</v>
      </c>
      <c r="U151">
        <f t="shared" si="29"/>
        <v>286</v>
      </c>
    </row>
    <row r="152" spans="1:21">
      <c r="A152">
        <f t="shared" si="24"/>
        <v>288</v>
      </c>
      <c r="B152" s="54">
        <f t="shared" si="21"/>
        <v>0.60093584730203042</v>
      </c>
      <c r="C152" s="54">
        <f t="shared" si="22"/>
        <v>0.24735048287142447</v>
      </c>
      <c r="E152">
        <f t="shared" si="25"/>
        <v>288</v>
      </c>
      <c r="F152" s="54">
        <f t="shared" si="23"/>
        <v>0.69048020573739566</v>
      </c>
      <c r="G152" s="54">
        <f t="shared" si="30"/>
        <v>0.48504406721784954</v>
      </c>
      <c r="I152">
        <f t="shared" si="26"/>
        <v>288</v>
      </c>
      <c r="M152">
        <f t="shared" si="27"/>
        <v>288</v>
      </c>
      <c r="Q152">
        <f t="shared" si="28"/>
        <v>288</v>
      </c>
      <c r="U152">
        <f t="shared" si="29"/>
        <v>288</v>
      </c>
    </row>
    <row r="153" spans="1:21">
      <c r="A153">
        <f t="shared" si="24"/>
        <v>290</v>
      </c>
      <c r="B153" s="54">
        <f t="shared" si="21"/>
        <v>0.6078332988439018</v>
      </c>
      <c r="C153" s="54">
        <f t="shared" si="22"/>
        <v>0.24972546589861816</v>
      </c>
      <c r="E153">
        <f t="shared" si="25"/>
        <v>290</v>
      </c>
      <c r="F153" s="54">
        <f t="shared" si="23"/>
        <v>0.69795553689880485</v>
      </c>
      <c r="G153" s="54">
        <f t="shared" si="30"/>
        <v>0.48761803015520744</v>
      </c>
      <c r="I153">
        <f t="shared" si="26"/>
        <v>290</v>
      </c>
      <c r="M153">
        <f t="shared" si="27"/>
        <v>290</v>
      </c>
      <c r="Q153">
        <f t="shared" si="28"/>
        <v>290</v>
      </c>
      <c r="U153">
        <f t="shared" si="29"/>
        <v>290</v>
      </c>
    </row>
    <row r="154" spans="1:21">
      <c r="A154">
        <f t="shared" si="24"/>
        <v>292</v>
      </c>
      <c r="B154" s="54">
        <f t="shared" si="21"/>
        <v>0.61464366293233086</v>
      </c>
      <c r="C154" s="54">
        <f t="shared" si="22"/>
        <v>0.25233971973766284</v>
      </c>
      <c r="E154">
        <f t="shared" si="25"/>
        <v>292</v>
      </c>
      <c r="F154" s="54">
        <f t="shared" si="23"/>
        <v>0.70533648427940276</v>
      </c>
      <c r="G154" s="54">
        <f t="shared" si="30"/>
        <v>0.49045131039910783</v>
      </c>
      <c r="I154">
        <f t="shared" si="26"/>
        <v>292</v>
      </c>
      <c r="M154">
        <f t="shared" si="27"/>
        <v>292</v>
      </c>
      <c r="Q154">
        <f t="shared" si="28"/>
        <v>292</v>
      </c>
      <c r="U154">
        <f t="shared" si="29"/>
        <v>292</v>
      </c>
    </row>
    <row r="155" spans="1:21">
      <c r="A155">
        <f t="shared" si="24"/>
        <v>294</v>
      </c>
      <c r="B155" s="54">
        <f t="shared" si="21"/>
        <v>0.62135864218773196</v>
      </c>
      <c r="C155" s="54">
        <f t="shared" si="22"/>
        <v>0.25519005932295047</v>
      </c>
      <c r="E155">
        <f t="shared" si="25"/>
        <v>294</v>
      </c>
      <c r="F155" s="54">
        <f t="shared" si="23"/>
        <v>0.7126140553317537</v>
      </c>
      <c r="G155" s="54">
        <f t="shared" si="30"/>
        <v>0.49354045603400676</v>
      </c>
      <c r="I155">
        <f t="shared" si="26"/>
        <v>294</v>
      </c>
      <c r="M155">
        <f t="shared" si="27"/>
        <v>294</v>
      </c>
      <c r="Q155">
        <f t="shared" si="28"/>
        <v>294</v>
      </c>
      <c r="U155">
        <f t="shared" si="29"/>
        <v>294</v>
      </c>
    </row>
    <row r="156" spans="1:21">
      <c r="A156">
        <f t="shared" si="24"/>
        <v>296</v>
      </c>
      <c r="B156" s="54">
        <f t="shared" si="21"/>
        <v>0.62797005544224538</v>
      </c>
      <c r="C156" s="54">
        <f t="shared" si="22"/>
        <v>0.2582730119547576</v>
      </c>
      <c r="E156">
        <f t="shared" si="25"/>
        <v>296</v>
      </c>
      <c r="F156" s="54">
        <f t="shared" si="23"/>
        <v>0.71977938345655401</v>
      </c>
      <c r="G156" s="54">
        <f t="shared" si="30"/>
        <v>0.49688170341179461</v>
      </c>
      <c r="I156">
        <f t="shared" si="26"/>
        <v>296</v>
      </c>
      <c r="M156">
        <f t="shared" si="27"/>
        <v>296</v>
      </c>
      <c r="Q156">
        <f t="shared" si="28"/>
        <v>296</v>
      </c>
      <c r="U156">
        <f t="shared" si="29"/>
        <v>296</v>
      </c>
    </row>
    <row r="157" spans="1:21">
      <c r="A157">
        <f t="shared" si="24"/>
        <v>298</v>
      </c>
      <c r="B157" s="54">
        <f t="shared" si="21"/>
        <v>0.63446984770723081</v>
      </c>
      <c r="C157" s="54">
        <f t="shared" si="22"/>
        <v>0.26158482153019469</v>
      </c>
      <c r="E157">
        <f t="shared" si="25"/>
        <v>298</v>
      </c>
      <c r="F157" s="54">
        <f t="shared" si="23"/>
        <v>0.726823738805218</v>
      </c>
      <c r="G157" s="54">
        <f t="shared" si="30"/>
        <v>0.50047098173722104</v>
      </c>
      <c r="I157">
        <f t="shared" si="26"/>
        <v>298</v>
      </c>
      <c r="M157">
        <f t="shared" si="27"/>
        <v>298</v>
      </c>
      <c r="Q157">
        <f t="shared" si="28"/>
        <v>298</v>
      </c>
      <c r="U157">
        <f t="shared" si="29"/>
        <v>298</v>
      </c>
    </row>
    <row r="158" spans="1:21">
      <c r="A158">
        <f t="shared" si="24"/>
        <v>300</v>
      </c>
      <c r="B158" s="54">
        <f t="shared" si="21"/>
        <v>0.6408500999870298</v>
      </c>
      <c r="C158" s="54">
        <f t="shared" si="22"/>
        <v>0.26512145311943947</v>
      </c>
      <c r="E158">
        <f t="shared" si="25"/>
        <v>300</v>
      </c>
      <c r="F158" s="54">
        <f t="shared" si="23"/>
        <v>0.73373853891585328</v>
      </c>
      <c r="G158" s="54">
        <f t="shared" si="30"/>
        <v>0.50430391802753283</v>
      </c>
      <c r="I158">
        <f t="shared" si="26"/>
        <v>300</v>
      </c>
      <c r="M158">
        <f t="shared" si="27"/>
        <v>300</v>
      </c>
      <c r="Q158">
        <f t="shared" si="28"/>
        <v>300</v>
      </c>
      <c r="U158">
        <f t="shared" si="29"/>
        <v>300</v>
      </c>
    </row>
    <row r="159" spans="1:21">
      <c r="A159">
        <f t="shared" si="24"/>
        <v>302</v>
      </c>
      <c r="B159" s="54">
        <f t="shared" si="21"/>
        <v>0.64710303892704168</v>
      </c>
      <c r="C159" s="54">
        <f t="shared" si="22"/>
        <v>0.26887859788167651</v>
      </c>
      <c r="E159">
        <f t="shared" si="25"/>
        <v>302</v>
      </c>
      <c r="F159" s="54">
        <f t="shared" si="23"/>
        <v>0.74051535916966804</v>
      </c>
      <c r="G159" s="54">
        <f t="shared" si="30"/>
        <v>0.50837584244027845</v>
      </c>
      <c r="I159">
        <f t="shared" si="26"/>
        <v>302</v>
      </c>
      <c r="M159">
        <f t="shared" si="27"/>
        <v>302</v>
      </c>
      <c r="Q159">
        <f t="shared" si="28"/>
        <v>302</v>
      </c>
      <c r="U159">
        <f t="shared" si="29"/>
        <v>302</v>
      </c>
    </row>
    <row r="160" spans="1:21">
      <c r="A160">
        <f t="shared" si="24"/>
        <v>304</v>
      </c>
      <c r="B160" s="54">
        <f t="shared" si="21"/>
        <v>0.65322104628435951</v>
      </c>
      <c r="C160" s="54">
        <f t="shared" si="22"/>
        <v>0.27285167831475693</v>
      </c>
      <c r="E160">
        <f t="shared" si="25"/>
        <v>304</v>
      </c>
      <c r="F160" s="54">
        <f t="shared" si="23"/>
        <v>0.74714594305507231</v>
      </c>
      <c r="G160" s="54">
        <f t="shared" si="30"/>
        <v>0.51268179396279312</v>
      </c>
      <c r="I160">
        <f t="shared" si="26"/>
        <v>304</v>
      </c>
      <c r="M160">
        <f t="shared" si="27"/>
        <v>304</v>
      </c>
      <c r="Q160">
        <f t="shared" si="28"/>
        <v>304</v>
      </c>
      <c r="U160">
        <f t="shared" si="29"/>
        <v>304</v>
      </c>
    </row>
    <row r="161" spans="1:21">
      <c r="A161">
        <f t="shared" si="24"/>
        <v>306</v>
      </c>
      <c r="B161" s="54">
        <f t="shared" si="21"/>
        <v>0.65919666820942535</v>
      </c>
      <c r="C161" s="54">
        <f t="shared" si="22"/>
        <v>0.27703585383217927</v>
      </c>
      <c r="E161">
        <f t="shared" si="25"/>
        <v>306</v>
      </c>
      <c r="F161" s="54">
        <f t="shared" si="23"/>
        <v>0.75362221222696502</v>
      </c>
      <c r="G161" s="54">
        <f t="shared" si="30"/>
        <v>0.51721652645642746</v>
      </c>
      <c r="I161">
        <f t="shared" si="26"/>
        <v>306</v>
      </c>
      <c r="M161">
        <f t="shared" si="27"/>
        <v>306</v>
      </c>
      <c r="Q161">
        <f t="shared" si="28"/>
        <v>306</v>
      </c>
      <c r="U161">
        <f t="shared" si="29"/>
        <v>306</v>
      </c>
    </row>
    <row r="162" spans="1:21">
      <c r="A162">
        <f t="shared" si="24"/>
        <v>308</v>
      </c>
      <c r="B162" s="54">
        <f t="shared" si="21"/>
        <v>0.66502262432739745</v>
      </c>
      <c r="C162" s="54">
        <f t="shared" si="22"/>
        <v>0.28142602666059824</v>
      </c>
      <c r="E162">
        <f t="shared" si="25"/>
        <v>308</v>
      </c>
      <c r="F162" s="54">
        <f t="shared" si="23"/>
        <v>0.75993627634895278</v>
      </c>
      <c r="G162" s="54">
        <f t="shared" si="30"/>
        <v>0.52197451504816006</v>
      </c>
      <c r="I162">
        <f t="shared" si="26"/>
        <v>308</v>
      </c>
      <c r="M162">
        <f t="shared" si="27"/>
        <v>308</v>
      </c>
      <c r="Q162">
        <f t="shared" si="28"/>
        <v>308</v>
      </c>
      <c r="U162">
        <f t="shared" si="29"/>
        <v>308</v>
      </c>
    </row>
    <row r="163" spans="1:21">
      <c r="A163">
        <f t="shared" si="24"/>
        <v>310</v>
      </c>
      <c r="B163" s="54">
        <f t="shared" si="21"/>
        <v>0.67069181660816546</v>
      </c>
      <c r="C163" s="54">
        <f t="shared" si="22"/>
        <v>0.28601684805067662</v>
      </c>
      <c r="E163">
        <f t="shared" si="25"/>
        <v>310</v>
      </c>
      <c r="F163" s="54">
        <f t="shared" si="23"/>
        <v>0.76608044270650988</v>
      </c>
      <c r="G163" s="54">
        <f t="shared" si="30"/>
        <v>0.52694996286180373</v>
      </c>
      <c r="I163">
        <f t="shared" si="26"/>
        <v>310</v>
      </c>
      <c r="M163">
        <f t="shared" si="27"/>
        <v>310</v>
      </c>
      <c r="Q163">
        <f t="shared" si="28"/>
        <v>310</v>
      </c>
      <c r="U163">
        <f t="shared" si="29"/>
        <v>310</v>
      </c>
    </row>
    <row r="164" spans="1:21">
      <c r="A164">
        <f t="shared" si="24"/>
        <v>312</v>
      </c>
      <c r="B164" s="54">
        <f t="shared" si="21"/>
        <v>0.67619733801420778</v>
      </c>
      <c r="C164" s="54">
        <f t="shared" si="22"/>
        <v>0.29080272479371255</v>
      </c>
      <c r="E164">
        <f t="shared" si="25"/>
        <v>312</v>
      </c>
      <c r="F164" s="54">
        <f t="shared" si="23"/>
        <v>0.772047225579366</v>
      </c>
      <c r="G164" s="54">
        <f t="shared" si="30"/>
        <v>0.53213680808060659</v>
      </c>
      <c r="I164">
        <f t="shared" si="26"/>
        <v>312</v>
      </c>
      <c r="M164">
        <f t="shared" si="27"/>
        <v>312</v>
      </c>
      <c r="Q164">
        <f t="shared" si="28"/>
        <v>312</v>
      </c>
      <c r="U164">
        <f t="shared" si="29"/>
        <v>312</v>
      </c>
    </row>
    <row r="165" spans="1:21">
      <c r="A165">
        <f t="shared" si="24"/>
        <v>314</v>
      </c>
      <c r="B165" s="54">
        <f t="shared" si="21"/>
        <v>0.68153248091575158</v>
      </c>
      <c r="C165" s="54">
        <f t="shared" si="22"/>
        <v>0.29577782603610236</v>
      </c>
      <c r="E165">
        <f t="shared" si="25"/>
        <v>314</v>
      </c>
      <c r="F165" s="54">
        <f t="shared" si="23"/>
        <v>0.77782935536170317</v>
      </c>
      <c r="G165" s="54">
        <f t="shared" si="30"/>
        <v>0.5375287313326419</v>
      </c>
      <c r="I165">
        <f t="shared" si="26"/>
        <v>314</v>
      </c>
      <c r="M165">
        <f t="shared" si="27"/>
        <v>314</v>
      </c>
      <c r="Q165">
        <f t="shared" si="28"/>
        <v>314</v>
      </c>
      <c r="U165">
        <f t="shared" si="29"/>
        <v>314</v>
      </c>
    </row>
    <row r="166" spans="1:21">
      <c r="A166">
        <f t="shared" si="24"/>
        <v>316</v>
      </c>
      <c r="B166" s="54">
        <f t="shared" si="21"/>
        <v>0.68669074526298723</v>
      </c>
      <c r="C166" s="54">
        <f t="shared" si="22"/>
        <v>0.30093609038333802</v>
      </c>
      <c r="E166">
        <f t="shared" si="25"/>
        <v>316</v>
      </c>
      <c r="F166" s="54">
        <f t="shared" si="23"/>
        <v>0.78341978741905038</v>
      </c>
      <c r="G166" s="54">
        <f t="shared" si="30"/>
        <v>0.54311916338998911</v>
      </c>
      <c r="I166">
        <f t="shared" si="26"/>
        <v>316</v>
      </c>
      <c r="M166">
        <f t="shared" si="27"/>
        <v>316</v>
      </c>
      <c r="Q166">
        <f t="shared" si="28"/>
        <v>316</v>
      </c>
      <c r="U166">
        <f t="shared" si="29"/>
        <v>316</v>
      </c>
    </row>
    <row r="167" spans="1:21">
      <c r="A167">
        <f t="shared" si="24"/>
        <v>318</v>
      </c>
      <c r="B167" s="54">
        <f t="shared" si="21"/>
        <v>0.6916658465053771</v>
      </c>
      <c r="C167" s="54">
        <f t="shared" si="22"/>
        <v>0.30627123328488193</v>
      </c>
      <c r="E167">
        <f t="shared" si="25"/>
        <v>318</v>
      </c>
      <c r="F167" s="54">
        <f t="shared" si="23"/>
        <v>0.7888117106710858</v>
      </c>
      <c r="G167" s="54">
        <f t="shared" si="30"/>
        <v>0.54890129317232639</v>
      </c>
      <c r="I167">
        <f t="shared" si="26"/>
        <v>318</v>
      </c>
      <c r="M167">
        <f t="shared" si="27"/>
        <v>318</v>
      </c>
      <c r="Q167">
        <f t="shared" si="28"/>
        <v>318</v>
      </c>
      <c r="U167">
        <f t="shared" si="29"/>
        <v>318</v>
      </c>
    </row>
    <row r="168" spans="1:21">
      <c r="A168">
        <f t="shared" si="24"/>
        <v>320</v>
      </c>
      <c r="B168" s="54">
        <f t="shared" si="21"/>
        <v>0.69645172324841309</v>
      </c>
      <c r="C168" s="54">
        <f t="shared" si="22"/>
        <v>0.3117767546909242</v>
      </c>
      <c r="E168">
        <f t="shared" si="25"/>
        <v>320</v>
      </c>
      <c r="F168" s="54">
        <f t="shared" si="23"/>
        <v>0.79399855588988866</v>
      </c>
      <c r="G168" s="54">
        <f t="shared" si="30"/>
        <v>0.55486807604518251</v>
      </c>
      <c r="I168">
        <f t="shared" si="26"/>
        <v>320</v>
      </c>
      <c r="M168">
        <f t="shared" si="27"/>
        <v>320</v>
      </c>
      <c r="Q168">
        <f t="shared" si="28"/>
        <v>320</v>
      </c>
      <c r="U168">
        <f t="shared" si="29"/>
        <v>320</v>
      </c>
    </row>
    <row r="169" spans="1:21">
      <c r="A169">
        <f t="shared" si="24"/>
        <v>322</v>
      </c>
      <c r="B169" s="54">
        <f t="shared" si="21"/>
        <v>0.70104254463849147</v>
      </c>
      <c r="C169" s="54">
        <f t="shared" si="22"/>
        <v>0.31744594697169226</v>
      </c>
      <c r="E169">
        <f t="shared" si="25"/>
        <v>322</v>
      </c>
      <c r="F169" s="54">
        <f t="shared" si="23"/>
        <v>0.79897400370353233</v>
      </c>
      <c r="G169" s="54">
        <f t="shared" si="30"/>
        <v>0.56101224240273961</v>
      </c>
      <c r="I169">
        <f t="shared" si="26"/>
        <v>322</v>
      </c>
      <c r="M169">
        <f t="shared" si="27"/>
        <v>322</v>
      </c>
      <c r="Q169">
        <f t="shared" si="28"/>
        <v>322</v>
      </c>
      <c r="U169">
        <f t="shared" si="29"/>
        <v>322</v>
      </c>
    </row>
    <row r="170" spans="1:21">
      <c r="A170">
        <f>A169+2</f>
        <v>324</v>
      </c>
      <c r="B170" s="54">
        <f t="shared" si="21"/>
        <v>0.70543271746691039</v>
      </c>
      <c r="C170" s="54">
        <f t="shared" si="22"/>
        <v>0.3232719030896643</v>
      </c>
      <c r="E170">
        <f>E169+2</f>
        <v>324</v>
      </c>
      <c r="F170" s="54">
        <f t="shared" si="23"/>
        <v>0.80373199229526504</v>
      </c>
      <c r="G170" s="54">
        <f t="shared" si="30"/>
        <v>0.56732630652472738</v>
      </c>
      <c r="I170">
        <f>I169+2</f>
        <v>324</v>
      </c>
      <c r="M170">
        <f>M169+2</f>
        <v>324</v>
      </c>
      <c r="Q170">
        <f>Q169+2</f>
        <v>324</v>
      </c>
      <c r="U170">
        <f>U169+2</f>
        <v>324</v>
      </c>
    </row>
    <row r="171" spans="1:21">
      <c r="A171">
        <f t="shared" ref="A171:A188" si="31">A170+2</f>
        <v>326</v>
      </c>
      <c r="B171" s="54">
        <f t="shared" si="21"/>
        <v>0.70961689298433273</v>
      </c>
      <c r="C171" s="54">
        <f t="shared" si="22"/>
        <v>0.32924752501473004</v>
      </c>
      <c r="E171">
        <f t="shared" ref="E171:E188" si="32">E170+2</f>
        <v>326</v>
      </c>
      <c r="F171" s="54">
        <f t="shared" si="23"/>
        <v>0.80826672478889927</v>
      </c>
      <c r="G171" s="54">
        <f t="shared" si="30"/>
        <v>0.57380257569661985</v>
      </c>
      <c r="I171">
        <f t="shared" ref="I171:I188" si="33">I170+2</f>
        <v>326</v>
      </c>
      <c r="M171">
        <f t="shared" ref="M171:M188" si="34">M170+2</f>
        <v>326</v>
      </c>
      <c r="Q171">
        <f t="shared" ref="Q171:Q188" si="35">Q170+2</f>
        <v>326</v>
      </c>
      <c r="U171">
        <f t="shared" ref="U171:U188" si="36">U170+2</f>
        <v>326</v>
      </c>
    </row>
    <row r="172" spans="1:21">
      <c r="A172">
        <f t="shared" si="31"/>
        <v>328</v>
      </c>
      <c r="B172" s="54">
        <f t="shared" si="21"/>
        <v>0.71358997341741315</v>
      </c>
      <c r="C172" s="54">
        <f t="shared" si="22"/>
        <v>0.33536553237204786</v>
      </c>
      <c r="E172">
        <f t="shared" si="32"/>
        <v>328</v>
      </c>
      <c r="F172" s="54">
        <f t="shared" si="23"/>
        <v>0.81257267631141383</v>
      </c>
      <c r="G172" s="54">
        <f t="shared" si="30"/>
        <v>0.58043315958202413</v>
      </c>
      <c r="I172">
        <f t="shared" si="33"/>
        <v>328</v>
      </c>
      <c r="M172">
        <f t="shared" si="34"/>
        <v>328</v>
      </c>
      <c r="Q172">
        <f t="shared" si="35"/>
        <v>328</v>
      </c>
      <c r="U172">
        <f t="shared" si="36"/>
        <v>328</v>
      </c>
    </row>
    <row r="173" spans="1:21">
      <c r="A173">
        <f t="shared" si="31"/>
        <v>330</v>
      </c>
      <c r="B173" s="54">
        <f t="shared" si="21"/>
        <v>0.71734711817965024</v>
      </c>
      <c r="C173" s="54">
        <f t="shared" si="22"/>
        <v>0.34161847131205986</v>
      </c>
      <c r="E173">
        <f t="shared" si="32"/>
        <v>330</v>
      </c>
      <c r="F173" s="54">
        <f t="shared" si="23"/>
        <v>0.81664460072415956</v>
      </c>
      <c r="G173" s="54">
        <f t="shared" si="30"/>
        <v>0.58720997983583911</v>
      </c>
      <c r="I173">
        <f t="shared" si="33"/>
        <v>330</v>
      </c>
      <c r="M173">
        <f t="shared" si="34"/>
        <v>330</v>
      </c>
      <c r="Q173">
        <f t="shared" si="35"/>
        <v>330</v>
      </c>
      <c r="U173">
        <f t="shared" si="36"/>
        <v>330</v>
      </c>
    </row>
    <row r="174" spans="1:21">
      <c r="A174">
        <f t="shared" si="31"/>
        <v>332</v>
      </c>
      <c r="B174" s="54">
        <f t="shared" si="21"/>
        <v>0.72088374976889502</v>
      </c>
      <c r="C174" s="54">
        <f t="shared" si="22"/>
        <v>0.34799872359185891</v>
      </c>
      <c r="E174">
        <f t="shared" si="32"/>
        <v>332</v>
      </c>
      <c r="F174" s="54">
        <f t="shared" si="23"/>
        <v>0.82047753701447135</v>
      </c>
      <c r="G174" s="54">
        <f t="shared" si="30"/>
        <v>0.59412477994647439</v>
      </c>
      <c r="I174">
        <f t="shared" si="33"/>
        <v>332</v>
      </c>
      <c r="M174">
        <f t="shared" si="34"/>
        <v>332</v>
      </c>
      <c r="Q174">
        <f t="shared" si="35"/>
        <v>332</v>
      </c>
      <c r="U174">
        <f t="shared" si="36"/>
        <v>332</v>
      </c>
    </row>
    <row r="175" spans="1:21">
      <c r="A175">
        <f t="shared" si="31"/>
        <v>334</v>
      </c>
      <c r="B175" s="54">
        <f t="shared" si="21"/>
        <v>0.72419555934433222</v>
      </c>
      <c r="C175" s="54">
        <f t="shared" si="22"/>
        <v>0.3544985158568445</v>
      </c>
      <c r="E175">
        <f t="shared" si="32"/>
        <v>334</v>
      </c>
      <c r="F175" s="54">
        <f t="shared" si="23"/>
        <v>0.82406681533989801</v>
      </c>
      <c r="G175" s="54">
        <f t="shared" si="30"/>
        <v>0.6011691352951386</v>
      </c>
      <c r="I175">
        <f t="shared" si="33"/>
        <v>334</v>
      </c>
      <c r="M175">
        <f t="shared" si="34"/>
        <v>334</v>
      </c>
      <c r="Q175">
        <f t="shared" si="35"/>
        <v>334</v>
      </c>
      <c r="U175">
        <f t="shared" si="36"/>
        <v>334</v>
      </c>
    </row>
    <row r="176" spans="1:21">
      <c r="A176">
        <f t="shared" si="31"/>
        <v>336</v>
      </c>
      <c r="B176" s="54">
        <f t="shared" si="21"/>
        <v>0.72727851197613935</v>
      </c>
      <c r="C176" s="54">
        <f t="shared" si="22"/>
        <v>0.36110992911135786</v>
      </c>
      <c r="E176">
        <f t="shared" si="32"/>
        <v>336</v>
      </c>
      <c r="F176" s="54">
        <f t="shared" si="23"/>
        <v>0.82740806271768574</v>
      </c>
      <c r="G176" s="54">
        <f t="shared" si="30"/>
        <v>0.60833446341993891</v>
      </c>
      <c r="I176">
        <f t="shared" si="33"/>
        <v>336</v>
      </c>
      <c r="M176">
        <f t="shared" si="34"/>
        <v>336</v>
      </c>
      <c r="Q176">
        <f t="shared" si="35"/>
        <v>336</v>
      </c>
      <c r="U176">
        <f t="shared" si="36"/>
        <v>336</v>
      </c>
    </row>
    <row r="177" spans="1:21">
      <c r="A177">
        <f t="shared" si="31"/>
        <v>338</v>
      </c>
      <c r="B177" s="54">
        <f t="shared" si="21"/>
        <v>0.73012885156142693</v>
      </c>
      <c r="C177" s="54">
        <f t="shared" si="22"/>
        <v>0.3678249083667588</v>
      </c>
      <c r="E177">
        <f t="shared" si="32"/>
        <v>338</v>
      </c>
      <c r="F177" s="54">
        <f t="shared" si="23"/>
        <v>0.83049720835258467</v>
      </c>
      <c r="G177" s="54">
        <f t="shared" si="30"/>
        <v>0.61561203447228963</v>
      </c>
      <c r="I177">
        <f t="shared" si="33"/>
        <v>338</v>
      </c>
      <c r="M177">
        <f t="shared" si="34"/>
        <v>338</v>
      </c>
      <c r="Q177">
        <f t="shared" si="35"/>
        <v>338</v>
      </c>
      <c r="U177">
        <f t="shared" si="36"/>
        <v>338</v>
      </c>
    </row>
    <row r="178" spans="1:21">
      <c r="A178">
        <f t="shared" si="31"/>
        <v>340</v>
      </c>
      <c r="B178" s="54">
        <f t="shared" si="21"/>
        <v>0.73274310540047161</v>
      </c>
      <c r="C178" s="54">
        <f t="shared" si="22"/>
        <v>0.37463527245518785</v>
      </c>
      <c r="E178">
        <f t="shared" si="32"/>
        <v>340</v>
      </c>
      <c r="F178" s="54">
        <f t="shared" si="23"/>
        <v>0.83333048859648506</v>
      </c>
      <c r="G178" s="54">
        <f t="shared" si="30"/>
        <v>0.62299298185288754</v>
      </c>
      <c r="I178">
        <f t="shared" si="33"/>
        <v>340</v>
      </c>
      <c r="M178">
        <f t="shared" si="34"/>
        <v>340</v>
      </c>
      <c r="Q178">
        <f t="shared" si="35"/>
        <v>340</v>
      </c>
      <c r="U178">
        <f t="shared" si="36"/>
        <v>340</v>
      </c>
    </row>
    <row r="179" spans="1:21">
      <c r="A179">
        <f t="shared" si="31"/>
        <v>342</v>
      </c>
      <c r="B179" s="54">
        <f t="shared" si="21"/>
        <v>0.73511808842766524</v>
      </c>
      <c r="C179" s="54">
        <f t="shared" si="22"/>
        <v>0.38153272399705923</v>
      </c>
      <c r="E179">
        <f t="shared" si="32"/>
        <v>342</v>
      </c>
      <c r="F179" s="54">
        <f t="shared" si="23"/>
        <v>0.83590445153384296</v>
      </c>
      <c r="G179" s="54">
        <f t="shared" si="30"/>
        <v>0.63046831301429673</v>
      </c>
      <c r="I179">
        <f t="shared" si="33"/>
        <v>342</v>
      </c>
      <c r="M179">
        <f t="shared" si="34"/>
        <v>342</v>
      </c>
      <c r="Q179">
        <f t="shared" si="35"/>
        <v>342</v>
      </c>
      <c r="U179">
        <f t="shared" si="36"/>
        <v>342</v>
      </c>
    </row>
    <row r="180" spans="1:21">
      <c r="A180">
        <f t="shared" si="31"/>
        <v>344</v>
      </c>
      <c r="B180" s="54">
        <f t="shared" si="21"/>
        <v>0.73725090709202745</v>
      </c>
      <c r="C180" s="54">
        <f t="shared" si="22"/>
        <v>0.38850885951014025</v>
      </c>
      <c r="E180">
        <f t="shared" si="32"/>
        <v>344</v>
      </c>
      <c r="F180" s="54">
        <f t="shared" si="23"/>
        <v>0.8382159611873079</v>
      </c>
      <c r="G180" s="54">
        <f t="shared" si="30"/>
        <v>0.63802892041698378</v>
      </c>
      <c r="I180">
        <f t="shared" si="33"/>
        <v>344</v>
      </c>
      <c r="M180">
        <f t="shared" si="34"/>
        <v>344</v>
      </c>
      <c r="Q180">
        <f t="shared" si="35"/>
        <v>344</v>
      </c>
      <c r="U180">
        <f t="shared" si="36"/>
        <v>344</v>
      </c>
    </row>
    <row r="181" spans="1:21">
      <c r="A181">
        <f t="shared" si="31"/>
        <v>346</v>
      </c>
      <c r="B181" s="54">
        <f t="shared" si="21"/>
        <v>0.73913896288255132</v>
      </c>
      <c r="C181" s="54">
        <f t="shared" si="22"/>
        <v>0.39555517964789966</v>
      </c>
      <c r="E181">
        <f t="shared" si="32"/>
        <v>346</v>
      </c>
      <c r="F181" s="54">
        <f t="shared" si="23"/>
        <v>0.84026220133842788</v>
      </c>
      <c r="G181" s="54">
        <f t="shared" si="30"/>
        <v>0.64566559262545109</v>
      </c>
      <c r="I181">
        <f t="shared" si="33"/>
        <v>346</v>
      </c>
      <c r="M181">
        <f t="shared" si="34"/>
        <v>346</v>
      </c>
      <c r="Q181">
        <f t="shared" si="35"/>
        <v>346</v>
      </c>
      <c r="U181">
        <f t="shared" si="36"/>
        <v>346</v>
      </c>
    </row>
    <row r="182" spans="1:21">
      <c r="A182">
        <f t="shared" si="31"/>
        <v>348</v>
      </c>
      <c r="B182" s="54">
        <f t="shared" si="21"/>
        <v>0.74077995549408848</v>
      </c>
      <c r="C182" s="54">
        <f t="shared" si="22"/>
        <v>0.40266309955465168</v>
      </c>
      <c r="E182">
        <f t="shared" si="32"/>
        <v>348</v>
      </c>
      <c r="F182" s="54">
        <f t="shared" si="23"/>
        <v>0.84204067895877777</v>
      </c>
      <c r="G182" s="54">
        <f t="shared" si="30"/>
        <v>0.65336902553095122</v>
      </c>
      <c r="I182">
        <f t="shared" si="33"/>
        <v>348</v>
      </c>
      <c r="M182">
        <f t="shared" si="34"/>
        <v>348</v>
      </c>
      <c r="Q182">
        <f t="shared" si="35"/>
        <v>348</v>
      </c>
      <c r="U182">
        <f t="shared" si="36"/>
        <v>348</v>
      </c>
    </row>
    <row r="183" spans="1:21">
      <c r="A183">
        <f t="shared" si="31"/>
        <v>350</v>
      </c>
      <c r="B183" s="54">
        <f t="shared" si="21"/>
        <v>0.74217188562991754</v>
      </c>
      <c r="C183" s="54">
        <f t="shared" si="22"/>
        <v>0.40982395932488125</v>
      </c>
      <c r="E183">
        <f t="shared" si="32"/>
        <v>350</v>
      </c>
      <c r="F183" s="54">
        <f t="shared" si="23"/>
        <v>0.84354922724733084</v>
      </c>
      <c r="G183" s="54">
        <f t="shared" si="30"/>
        <v>0.66112983368711198</v>
      </c>
      <c r="I183">
        <f t="shared" si="33"/>
        <v>350</v>
      </c>
      <c r="M183">
        <f t="shared" si="34"/>
        <v>350</v>
      </c>
      <c r="Q183">
        <f t="shared" si="35"/>
        <v>350</v>
      </c>
      <c r="U183">
        <f t="shared" si="36"/>
        <v>350</v>
      </c>
    </row>
    <row r="184" spans="1:21">
      <c r="A184">
        <f t="shared" si="31"/>
        <v>352</v>
      </c>
      <c r="B184" s="54">
        <f t="shared" si="21"/>
        <v>0.74331305743757847</v>
      </c>
      <c r="C184" s="54">
        <f t="shared" si="22"/>
        <v>0.41702903455400447</v>
      </c>
      <c r="E184">
        <f t="shared" si="32"/>
        <v>352</v>
      </c>
      <c r="F184" s="54">
        <f t="shared" si="23"/>
        <v>0.84478600827037154</v>
      </c>
      <c r="G184" s="54">
        <f t="shared" si="30"/>
        <v>0.66893856174465616</v>
      </c>
      <c r="I184">
        <f t="shared" si="33"/>
        <v>352</v>
      </c>
      <c r="M184">
        <f t="shared" si="34"/>
        <v>352</v>
      </c>
      <c r="Q184">
        <f t="shared" si="35"/>
        <v>352</v>
      </c>
      <c r="U184">
        <f t="shared" si="36"/>
        <v>352</v>
      </c>
    </row>
    <row r="185" spans="1:21">
      <c r="A185">
        <f t="shared" si="31"/>
        <v>354</v>
      </c>
      <c r="B185" s="54">
        <f t="shared" si="21"/>
        <v>0.74420208057500747</v>
      </c>
      <c r="C185" s="54">
        <f t="shared" si="22"/>
        <v>0.42426954696771113</v>
      </c>
      <c r="E185">
        <f t="shared" si="32"/>
        <v>354</v>
      </c>
      <c r="F185" s="54">
        <f t="shared" si="23"/>
        <v>0.8457495152007346</v>
      </c>
      <c r="G185" s="54">
        <f t="shared" si="30"/>
        <v>0.67678569597128779</v>
      </c>
      <c r="I185">
        <f t="shared" si="33"/>
        <v>354</v>
      </c>
      <c r="M185">
        <f t="shared" si="34"/>
        <v>354</v>
      </c>
      <c r="Q185">
        <f t="shared" si="35"/>
        <v>354</v>
      </c>
      <c r="U185">
        <f t="shared" si="36"/>
        <v>354</v>
      </c>
    </row>
    <row r="186" spans="1:21">
      <c r="A186">
        <f t="shared" si="31"/>
        <v>356</v>
      </c>
      <c r="B186" s="54">
        <f t="shared" si="21"/>
        <v>0.74483787190445516</v>
      </c>
      <c r="C186" s="54">
        <f t="shared" si="22"/>
        <v>0.4315366751169406</v>
      </c>
      <c r="E186">
        <f t="shared" si="32"/>
        <v>356</v>
      </c>
      <c r="F186" s="54">
        <f t="shared" si="23"/>
        <v>0.84643857415364243</v>
      </c>
      <c r="G186" s="54">
        <f t="shared" si="30"/>
        <v>0.68466167584270998</v>
      </c>
      <c r="I186">
        <f t="shared" si="33"/>
        <v>356</v>
      </c>
      <c r="M186">
        <f t="shared" si="34"/>
        <v>356</v>
      </c>
      <c r="Q186">
        <f t="shared" si="35"/>
        <v>356</v>
      </c>
      <c r="U186">
        <f t="shared" si="36"/>
        <v>356</v>
      </c>
    </row>
    <row r="187" spans="1:21">
      <c r="A187">
        <f t="shared" si="31"/>
        <v>358</v>
      </c>
      <c r="B187" s="54">
        <f t="shared" si="21"/>
        <v>0.74521965681212277</v>
      </c>
      <c r="C187" s="54">
        <f t="shared" si="22"/>
        <v>0.43882156512545817</v>
      </c>
      <c r="E187">
        <f t="shared" si="32"/>
        <v>358</v>
      </c>
      <c r="F187" s="54">
        <f t="shared" si="23"/>
        <v>0.84685234561690226</v>
      </c>
      <c r="G187" s="54">
        <f t="shared" si="30"/>
        <v>0.69255690569065109</v>
      </c>
      <c r="I187">
        <f t="shared" si="33"/>
        <v>358</v>
      </c>
      <c r="M187">
        <f t="shared" si="34"/>
        <v>358</v>
      </c>
      <c r="Q187">
        <f t="shared" si="35"/>
        <v>358</v>
      </c>
      <c r="U187">
        <f t="shared" si="36"/>
        <v>358</v>
      </c>
    </row>
    <row r="188" spans="1:21">
      <c r="A188">
        <f t="shared" si="31"/>
        <v>360</v>
      </c>
      <c r="B188" s="54">
        <f t="shared" si="21"/>
        <v>0.74534697015190976</v>
      </c>
      <c r="C188" s="54">
        <f t="shared" si="22"/>
        <v>0.44611534147693988</v>
      </c>
      <c r="E188">
        <f t="shared" si="32"/>
        <v>360</v>
      </c>
      <c r="F188" s="54">
        <f t="shared" si="23"/>
        <v>0.84699032547372255</v>
      </c>
      <c r="G188" s="54">
        <f t="shared" si="30"/>
        <v>0.7004617663937085</v>
      </c>
      <c r="I188">
        <f t="shared" si="33"/>
        <v>360</v>
      </c>
      <c r="M188">
        <f t="shared" si="34"/>
        <v>360</v>
      </c>
      <c r="Q188">
        <f t="shared" si="35"/>
        <v>360</v>
      </c>
      <c r="U188">
        <f t="shared" si="36"/>
        <v>360</v>
      </c>
    </row>
    <row r="347" spans="1:1">
      <c r="A347">
        <f t="shared" ref="A347:A368" si="37">A346+1</f>
        <v>1</v>
      </c>
    </row>
    <row r="348" spans="1:1">
      <c r="A348">
        <f t="shared" si="37"/>
        <v>2</v>
      </c>
    </row>
    <row r="349" spans="1:1">
      <c r="A349">
        <f t="shared" si="37"/>
        <v>3</v>
      </c>
    </row>
    <row r="350" spans="1:1">
      <c r="A350">
        <f t="shared" si="37"/>
        <v>4</v>
      </c>
    </row>
    <row r="351" spans="1:1">
      <c r="A351">
        <f t="shared" si="37"/>
        <v>5</v>
      </c>
    </row>
    <row r="352" spans="1:1">
      <c r="A352">
        <f t="shared" si="37"/>
        <v>6</v>
      </c>
    </row>
    <row r="353" spans="1:1">
      <c r="A353">
        <f t="shared" si="37"/>
        <v>7</v>
      </c>
    </row>
    <row r="354" spans="1:1">
      <c r="A354">
        <f t="shared" si="37"/>
        <v>8</v>
      </c>
    </row>
    <row r="355" spans="1:1">
      <c r="A355">
        <f t="shared" si="37"/>
        <v>9</v>
      </c>
    </row>
    <row r="356" spans="1:1">
      <c r="A356">
        <f t="shared" si="37"/>
        <v>10</v>
      </c>
    </row>
    <row r="357" spans="1:1">
      <c r="A357">
        <f t="shared" si="37"/>
        <v>11</v>
      </c>
    </row>
    <row r="358" spans="1:1">
      <c r="A358">
        <f t="shared" si="37"/>
        <v>12</v>
      </c>
    </row>
    <row r="359" spans="1:1">
      <c r="A359">
        <f t="shared" si="37"/>
        <v>13</v>
      </c>
    </row>
    <row r="360" spans="1:1">
      <c r="A360">
        <f t="shared" si="37"/>
        <v>14</v>
      </c>
    </row>
    <row r="361" spans="1:1">
      <c r="A361">
        <f t="shared" si="37"/>
        <v>15</v>
      </c>
    </row>
    <row r="362" spans="1:1">
      <c r="A362">
        <f t="shared" si="37"/>
        <v>16</v>
      </c>
    </row>
    <row r="363" spans="1:1">
      <c r="A363">
        <f t="shared" si="37"/>
        <v>17</v>
      </c>
    </row>
    <row r="364" spans="1:1">
      <c r="A364">
        <f t="shared" si="37"/>
        <v>18</v>
      </c>
    </row>
    <row r="365" spans="1:1">
      <c r="A365">
        <f t="shared" si="37"/>
        <v>19</v>
      </c>
    </row>
    <row r="366" spans="1:1">
      <c r="A366">
        <f t="shared" si="37"/>
        <v>20</v>
      </c>
    </row>
    <row r="367" spans="1:1">
      <c r="A367">
        <f t="shared" si="37"/>
        <v>21</v>
      </c>
    </row>
    <row r="368" spans="1:1">
      <c r="A368">
        <f t="shared" si="37"/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activeCell="Y35" sqref="Y35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N1" t="s">
        <v>30</v>
      </c>
      <c r="O1" t="s">
        <v>32</v>
      </c>
      <c r="P1" t="s">
        <v>31</v>
      </c>
      <c r="R1" t="s">
        <v>33</v>
      </c>
      <c r="S1" t="s">
        <v>39</v>
      </c>
      <c r="T1" t="s">
        <v>34</v>
      </c>
      <c r="U1" t="s">
        <v>39</v>
      </c>
      <c r="V1" t="s">
        <v>35</v>
      </c>
      <c r="W1" t="s">
        <v>39</v>
      </c>
    </row>
    <row r="2" spans="1:23">
      <c r="A2" t="s">
        <v>5</v>
      </c>
      <c r="B2">
        <v>5</v>
      </c>
      <c r="C2" t="s">
        <v>17</v>
      </c>
      <c r="D2">
        <v>22.5</v>
      </c>
      <c r="E2">
        <v>13.3</v>
      </c>
      <c r="F2">
        <v>8.6999999999999993</v>
      </c>
      <c r="G2">
        <v>21.6</v>
      </c>
      <c r="H2">
        <v>13.1</v>
      </c>
      <c r="I2">
        <v>8</v>
      </c>
      <c r="J2">
        <v>21.5</v>
      </c>
      <c r="K2">
        <v>12.4</v>
      </c>
      <c r="L2">
        <v>8.4</v>
      </c>
      <c r="N2" s="2">
        <f>AVERAGE(D2,G2,J2)</f>
        <v>21.866666666666664</v>
      </c>
      <c r="O2" s="2">
        <f>AVERAGE(E2,H2,K2)</f>
        <v>12.933333333333332</v>
      </c>
      <c r="P2" s="2">
        <f>AVERAGE(F2,I2,L2)</f>
        <v>8.3666666666666671</v>
      </c>
      <c r="R2" s="2">
        <f t="shared" ref="R2:R8" si="0">N2-D2</f>
        <v>-0.63333333333333641</v>
      </c>
      <c r="S2" s="2">
        <f>ABS(R2)</f>
        <v>0.63333333333333641</v>
      </c>
      <c r="T2" s="2">
        <f>N2-G2</f>
        <v>0.26666666666666217</v>
      </c>
      <c r="U2" s="2">
        <f>ABS(T2)</f>
        <v>0.26666666666666217</v>
      </c>
      <c r="V2" s="2">
        <f>N2-J2</f>
        <v>0.36666666666666359</v>
      </c>
      <c r="W2" s="2">
        <f>ABS(V2)</f>
        <v>0.36666666666666359</v>
      </c>
    </row>
    <row r="3" spans="1:23">
      <c r="A3" t="s">
        <v>18</v>
      </c>
      <c r="B3">
        <v>5</v>
      </c>
      <c r="C3" t="s">
        <v>17</v>
      </c>
      <c r="D3">
        <v>22.5</v>
      </c>
      <c r="E3">
        <v>14.5</v>
      </c>
      <c r="F3">
        <v>10</v>
      </c>
      <c r="G3">
        <v>21.6</v>
      </c>
      <c r="H3">
        <v>13.4</v>
      </c>
      <c r="I3">
        <v>9.5</v>
      </c>
      <c r="J3">
        <v>21.3</v>
      </c>
      <c r="K3">
        <v>13.2</v>
      </c>
      <c r="L3">
        <v>9.1</v>
      </c>
      <c r="N3" s="2">
        <f t="shared" ref="N3:N7" si="1">AVERAGE(D3,G3,J3)</f>
        <v>21.8</v>
      </c>
      <c r="O3" s="2">
        <f t="shared" ref="O3:O7" si="2">AVERAGE(E3,H3,K3)</f>
        <v>13.699999999999998</v>
      </c>
      <c r="P3" s="2">
        <f t="shared" ref="P3:P7" si="3">AVERAGE(F3,I3,L3)</f>
        <v>9.5333333333333332</v>
      </c>
      <c r="R3" s="2">
        <f t="shared" si="0"/>
        <v>-0.69999999999999929</v>
      </c>
      <c r="S3" s="2">
        <f t="shared" ref="S3:U8" si="4">ABS(R3)</f>
        <v>0.69999999999999929</v>
      </c>
      <c r="T3" s="2">
        <f t="shared" ref="T3:T8" si="5">N3-G3</f>
        <v>0.19999999999999929</v>
      </c>
      <c r="U3" s="2">
        <f t="shared" si="4"/>
        <v>0.19999999999999929</v>
      </c>
      <c r="V3" s="2">
        <f>N3-J3</f>
        <v>0.5</v>
      </c>
      <c r="W3" s="2">
        <f t="shared" ref="W3:W8" si="6">ABS(V3)</f>
        <v>0.5</v>
      </c>
    </row>
    <row r="4" spans="1:23">
      <c r="A4">
        <v>59</v>
      </c>
      <c r="B4">
        <v>6</v>
      </c>
      <c r="C4" t="s">
        <v>26</v>
      </c>
      <c r="D4">
        <v>31.4</v>
      </c>
      <c r="E4">
        <v>18.8</v>
      </c>
      <c r="F4">
        <v>13.3</v>
      </c>
      <c r="G4">
        <v>28.4</v>
      </c>
      <c r="H4">
        <v>16.399999999999999</v>
      </c>
      <c r="I4">
        <v>12</v>
      </c>
      <c r="J4">
        <v>32</v>
      </c>
      <c r="K4">
        <v>19.8</v>
      </c>
      <c r="L4">
        <v>14.6</v>
      </c>
      <c r="N4" s="2">
        <f t="shared" si="1"/>
        <v>30.599999999999998</v>
      </c>
      <c r="O4" s="2">
        <f t="shared" si="2"/>
        <v>18.333333333333332</v>
      </c>
      <c r="P4" s="2">
        <f t="shared" si="3"/>
        <v>13.299999999999999</v>
      </c>
      <c r="R4" s="2">
        <f t="shared" si="0"/>
        <v>-0.80000000000000071</v>
      </c>
      <c r="S4" s="2">
        <f t="shared" si="4"/>
        <v>0.80000000000000071</v>
      </c>
      <c r="T4" s="2">
        <f t="shared" si="5"/>
        <v>2.1999999999999993</v>
      </c>
      <c r="U4" s="2">
        <f t="shared" si="4"/>
        <v>2.1999999999999993</v>
      </c>
      <c r="V4" s="2">
        <f t="shared" ref="V4:V8" si="7">N4-J4</f>
        <v>-1.4000000000000021</v>
      </c>
      <c r="W4" s="2">
        <f t="shared" si="6"/>
        <v>1.4000000000000021</v>
      </c>
    </row>
    <row r="5" spans="1:23">
      <c r="A5">
        <v>61</v>
      </c>
      <c r="B5">
        <v>6</v>
      </c>
      <c r="C5" t="s">
        <v>26</v>
      </c>
      <c r="D5">
        <v>24</v>
      </c>
      <c r="E5">
        <v>12.9</v>
      </c>
      <c r="F5">
        <v>8.9</v>
      </c>
      <c r="G5">
        <v>23.3</v>
      </c>
      <c r="H5">
        <v>12.5</v>
      </c>
      <c r="I5">
        <v>8.6999999999999993</v>
      </c>
      <c r="J5">
        <v>26.8</v>
      </c>
      <c r="K5">
        <v>15.9</v>
      </c>
      <c r="L5">
        <v>12.3</v>
      </c>
      <c r="N5" s="2">
        <f t="shared" si="1"/>
        <v>24.7</v>
      </c>
      <c r="O5" s="2">
        <f t="shared" si="2"/>
        <v>13.766666666666666</v>
      </c>
      <c r="P5" s="2">
        <f t="shared" si="3"/>
        <v>9.9666666666666668</v>
      </c>
      <c r="R5" s="2">
        <f t="shared" si="0"/>
        <v>0.69999999999999929</v>
      </c>
      <c r="S5" s="2">
        <f t="shared" si="4"/>
        <v>0.69999999999999929</v>
      </c>
      <c r="T5" s="2">
        <f t="shared" si="5"/>
        <v>1.3999999999999986</v>
      </c>
      <c r="U5" s="2">
        <f t="shared" si="4"/>
        <v>1.3999999999999986</v>
      </c>
      <c r="V5" s="2">
        <f t="shared" si="7"/>
        <v>-2.1000000000000014</v>
      </c>
      <c r="W5" s="2">
        <f t="shared" si="6"/>
        <v>2.1000000000000014</v>
      </c>
    </row>
    <row r="6" spans="1:23">
      <c r="A6">
        <v>69</v>
      </c>
      <c r="B6">
        <v>6</v>
      </c>
      <c r="C6" t="s">
        <v>17</v>
      </c>
      <c r="D6">
        <v>26.5</v>
      </c>
      <c r="E6">
        <v>13.7</v>
      </c>
      <c r="F6">
        <v>8.5</v>
      </c>
      <c r="G6">
        <v>24.5</v>
      </c>
      <c r="H6">
        <v>11.1</v>
      </c>
      <c r="I6">
        <v>6.7</v>
      </c>
      <c r="J6">
        <v>24.8</v>
      </c>
      <c r="K6">
        <v>12.2</v>
      </c>
      <c r="L6">
        <v>7.4</v>
      </c>
      <c r="N6" s="2">
        <f t="shared" si="1"/>
        <v>25.266666666666666</v>
      </c>
      <c r="O6" s="2">
        <f t="shared" si="2"/>
        <v>12.333333333333334</v>
      </c>
      <c r="P6" s="2">
        <f t="shared" si="3"/>
        <v>7.5333333333333341</v>
      </c>
      <c r="R6" s="2">
        <f t="shared" si="0"/>
        <v>-1.2333333333333343</v>
      </c>
      <c r="S6" s="2">
        <f t="shared" si="4"/>
        <v>1.2333333333333343</v>
      </c>
      <c r="T6" s="2">
        <f t="shared" si="5"/>
        <v>0.76666666666666572</v>
      </c>
      <c r="U6" s="2">
        <f t="shared" si="4"/>
        <v>0.76666666666666572</v>
      </c>
      <c r="V6" s="2">
        <f t="shared" si="7"/>
        <v>0.46666666666666501</v>
      </c>
      <c r="W6" s="2">
        <f t="shared" si="6"/>
        <v>0.46666666666666501</v>
      </c>
    </row>
    <row r="7" spans="1:23">
      <c r="A7" t="s">
        <v>28</v>
      </c>
      <c r="B7">
        <v>5</v>
      </c>
      <c r="C7" t="s">
        <v>26</v>
      </c>
      <c r="D7">
        <v>13</v>
      </c>
      <c r="E7">
        <v>9</v>
      </c>
      <c r="F7">
        <v>7.5</v>
      </c>
      <c r="G7">
        <v>17.399999999999999</v>
      </c>
      <c r="H7">
        <v>12.3</v>
      </c>
      <c r="I7">
        <v>8.4</v>
      </c>
      <c r="J7">
        <v>10.7</v>
      </c>
      <c r="K7">
        <v>8</v>
      </c>
      <c r="L7">
        <v>6.7</v>
      </c>
      <c r="N7" s="2">
        <f t="shared" si="1"/>
        <v>13.699999999999998</v>
      </c>
      <c r="O7" s="2">
        <f t="shared" si="2"/>
        <v>9.7666666666666675</v>
      </c>
      <c r="P7" s="2">
        <f t="shared" si="3"/>
        <v>7.5333333333333341</v>
      </c>
      <c r="R7" s="2">
        <f t="shared" si="0"/>
        <v>0.69999999999999751</v>
      </c>
      <c r="S7" s="2">
        <f t="shared" si="4"/>
        <v>0.69999999999999751</v>
      </c>
      <c r="T7" s="2">
        <f t="shared" si="5"/>
        <v>-3.7000000000000011</v>
      </c>
      <c r="U7" s="2">
        <f t="shared" si="4"/>
        <v>3.7000000000000011</v>
      </c>
      <c r="V7" s="2">
        <f t="shared" si="7"/>
        <v>2.9999999999999982</v>
      </c>
      <c r="W7" s="2">
        <f t="shared" si="6"/>
        <v>2.9999999999999982</v>
      </c>
    </row>
    <row r="8" spans="1:23">
      <c r="A8" t="s">
        <v>29</v>
      </c>
      <c r="B8">
        <v>5</v>
      </c>
      <c r="C8" t="s">
        <v>26</v>
      </c>
      <c r="D8">
        <v>19.600000000000001</v>
      </c>
      <c r="E8">
        <v>12.5</v>
      </c>
      <c r="F8">
        <v>9.6</v>
      </c>
      <c r="G8">
        <v>19.7</v>
      </c>
      <c r="H8">
        <v>11.7</v>
      </c>
      <c r="I8">
        <v>8.6999999999999993</v>
      </c>
      <c r="J8">
        <v>19.2</v>
      </c>
      <c r="K8">
        <v>12.2</v>
      </c>
      <c r="L8">
        <v>9.1999999999999993</v>
      </c>
      <c r="N8" s="2">
        <f>AVERAGE(D8,G8,J8)</f>
        <v>19.5</v>
      </c>
      <c r="O8" s="2">
        <f>AVERAGE(E8,H8,K8)</f>
        <v>12.133333333333333</v>
      </c>
      <c r="P8" s="2">
        <f>AVERAGE(F8,I8,L8)</f>
        <v>9.1666666666666661</v>
      </c>
      <c r="R8" s="2">
        <f t="shared" si="0"/>
        <v>-0.10000000000000142</v>
      </c>
      <c r="S8" s="2">
        <f t="shared" si="4"/>
        <v>0.10000000000000142</v>
      </c>
      <c r="T8" s="2">
        <f t="shared" si="5"/>
        <v>-0.19999999999999929</v>
      </c>
      <c r="U8" s="2">
        <f t="shared" si="4"/>
        <v>0.19999999999999929</v>
      </c>
      <c r="V8" s="2">
        <f t="shared" si="7"/>
        <v>0.30000000000000071</v>
      </c>
      <c r="W8" s="2">
        <f t="shared" si="6"/>
        <v>0.30000000000000071</v>
      </c>
    </row>
    <row r="9" spans="1:23">
      <c r="N9" s="2"/>
      <c r="O9" s="2"/>
    </row>
    <row r="10" spans="1:23">
      <c r="N10" s="2"/>
      <c r="O10" s="2"/>
      <c r="R10" t="s">
        <v>36</v>
      </c>
      <c r="S10" t="s">
        <v>37</v>
      </c>
      <c r="T10" t="s">
        <v>38</v>
      </c>
    </row>
    <row r="11" spans="1:23">
      <c r="R11" s="2">
        <f>AVERAGE(S2:S8)</f>
        <v>0.69523809523809554</v>
      </c>
      <c r="S11" s="2">
        <f>AVERAGE(U2:U8)</f>
        <v>1.2476190476190465</v>
      </c>
      <c r="T11" s="2">
        <f>AVERAGE(W2:W8)</f>
        <v>1.1619047619047616</v>
      </c>
    </row>
    <row r="13" spans="1:23">
      <c r="R13" s="2" t="s">
        <v>40</v>
      </c>
      <c r="S13" s="2" t="s">
        <v>39</v>
      </c>
      <c r="T13" t="s">
        <v>41</v>
      </c>
      <c r="U13" t="s">
        <v>39</v>
      </c>
      <c r="V13" t="s">
        <v>42</v>
      </c>
      <c r="W13" t="s">
        <v>39</v>
      </c>
    </row>
    <row r="14" spans="1:23">
      <c r="R14" s="2">
        <f>O2-E2</f>
        <v>-0.36666666666666892</v>
      </c>
      <c r="S14" s="2">
        <f>ABS(R14)</f>
        <v>0.36666666666666892</v>
      </c>
      <c r="T14" s="2">
        <f>O2-H2</f>
        <v>-0.16666666666666785</v>
      </c>
      <c r="U14" s="2">
        <f>ABS(T14)</f>
        <v>0.16666666666666785</v>
      </c>
      <c r="V14" s="2">
        <f>O2-K2</f>
        <v>0.53333333333333144</v>
      </c>
      <c r="W14" s="2">
        <f>ABS(V14)</f>
        <v>0.53333333333333144</v>
      </c>
    </row>
    <row r="15" spans="1:23">
      <c r="R15" s="2">
        <f t="shared" ref="R15:R19" si="8">O3-E3</f>
        <v>-0.80000000000000249</v>
      </c>
      <c r="S15" s="2">
        <f t="shared" ref="S15:S20" si="9">ABS(R15)</f>
        <v>0.80000000000000249</v>
      </c>
      <c r="T15" s="2">
        <f t="shared" ref="T15:T20" si="10">O3-H3</f>
        <v>0.29999999999999716</v>
      </c>
      <c r="U15" s="2">
        <f t="shared" ref="U15:U20" si="11">ABS(T15)</f>
        <v>0.29999999999999716</v>
      </c>
      <c r="V15" s="2">
        <f t="shared" ref="V15:V20" si="12">O3-K3</f>
        <v>0.49999999999999822</v>
      </c>
      <c r="W15" s="2">
        <f t="shared" ref="W15:W20" si="13">ABS(V15)</f>
        <v>0.49999999999999822</v>
      </c>
    </row>
    <row r="16" spans="1:23">
      <c r="R16" s="2">
        <f t="shared" si="8"/>
        <v>-0.46666666666666856</v>
      </c>
      <c r="S16" s="2">
        <f t="shared" si="9"/>
        <v>0.46666666666666856</v>
      </c>
      <c r="T16" s="2">
        <f t="shared" si="10"/>
        <v>1.9333333333333336</v>
      </c>
      <c r="U16" s="2">
        <f t="shared" si="11"/>
        <v>1.9333333333333336</v>
      </c>
      <c r="V16" s="2">
        <f t="shared" si="12"/>
        <v>-1.4666666666666686</v>
      </c>
      <c r="W16" s="2">
        <f t="shared" si="13"/>
        <v>1.4666666666666686</v>
      </c>
    </row>
    <row r="17" spans="18:23">
      <c r="R17" s="2">
        <f t="shared" si="8"/>
        <v>0.86666666666666536</v>
      </c>
      <c r="S17" s="2">
        <f t="shared" si="9"/>
        <v>0.86666666666666536</v>
      </c>
      <c r="T17" s="2">
        <f>O5-H5</f>
        <v>1.2666666666666657</v>
      </c>
      <c r="U17" s="2">
        <f t="shared" si="11"/>
        <v>1.2666666666666657</v>
      </c>
      <c r="V17" s="2">
        <f t="shared" si="12"/>
        <v>-2.1333333333333346</v>
      </c>
      <c r="W17" s="2">
        <f t="shared" si="13"/>
        <v>2.1333333333333346</v>
      </c>
    </row>
    <row r="18" spans="18:23">
      <c r="R18" s="2">
        <f t="shared" si="8"/>
        <v>-1.3666666666666654</v>
      </c>
      <c r="S18" s="2">
        <f t="shared" si="9"/>
        <v>1.3666666666666654</v>
      </c>
      <c r="T18" s="2">
        <f t="shared" si="10"/>
        <v>1.2333333333333343</v>
      </c>
      <c r="U18" s="2">
        <f t="shared" si="11"/>
        <v>1.2333333333333343</v>
      </c>
      <c r="V18" s="2">
        <f t="shared" si="12"/>
        <v>0.13333333333333464</v>
      </c>
      <c r="W18" s="2">
        <f t="shared" si="13"/>
        <v>0.13333333333333464</v>
      </c>
    </row>
    <row r="19" spans="18:23">
      <c r="R19" s="2">
        <f t="shared" si="8"/>
        <v>0.7666666666666675</v>
      </c>
      <c r="S19" s="2">
        <f t="shared" si="9"/>
        <v>0.7666666666666675</v>
      </c>
      <c r="T19" s="2">
        <f t="shared" si="10"/>
        <v>-2.5333333333333332</v>
      </c>
      <c r="U19" s="2">
        <f t="shared" si="11"/>
        <v>2.5333333333333332</v>
      </c>
      <c r="V19" s="2">
        <f>O7-K7</f>
        <v>1.7666666666666675</v>
      </c>
      <c r="W19" s="2">
        <f t="shared" si="13"/>
        <v>1.7666666666666675</v>
      </c>
    </row>
    <row r="20" spans="18:23">
      <c r="R20" s="2">
        <f>O8-E8</f>
        <v>-0.36666666666666714</v>
      </c>
      <c r="S20" s="2">
        <f t="shared" si="9"/>
        <v>0.36666666666666714</v>
      </c>
      <c r="T20" s="2">
        <f t="shared" si="10"/>
        <v>0.43333333333333357</v>
      </c>
      <c r="U20" s="2">
        <f t="shared" si="11"/>
        <v>0.43333333333333357</v>
      </c>
      <c r="V20" s="2">
        <f t="shared" si="12"/>
        <v>-6.666666666666643E-2</v>
      </c>
      <c r="W20" s="2">
        <f t="shared" si="13"/>
        <v>6.666666666666643E-2</v>
      </c>
    </row>
    <row r="21" spans="18:23">
      <c r="R21" s="2"/>
    </row>
    <row r="22" spans="18:23">
      <c r="R22" t="s">
        <v>45</v>
      </c>
      <c r="S22" t="s">
        <v>43</v>
      </c>
      <c r="T22" t="s">
        <v>44</v>
      </c>
    </row>
    <row r="23" spans="18:23">
      <c r="R23" s="2">
        <f>AVERAGE(S14:S20)</f>
        <v>0.71428571428571508</v>
      </c>
      <c r="S23" s="2">
        <f>AVERAGE(U14:U20)</f>
        <v>1.1238095238095236</v>
      </c>
      <c r="T23" s="2">
        <f>AVERAGE(W14:W20)</f>
        <v>0.94285714285714306</v>
      </c>
    </row>
    <row r="24" spans="18:23">
      <c r="R24" s="2"/>
    </row>
    <row r="25" spans="18:23">
      <c r="R25" s="2" t="s">
        <v>46</v>
      </c>
      <c r="S25" s="2" t="s">
        <v>39</v>
      </c>
      <c r="T25" t="s">
        <v>47</v>
      </c>
      <c r="U25" t="s">
        <v>39</v>
      </c>
      <c r="V25" t="s">
        <v>48</v>
      </c>
      <c r="W25" t="s">
        <v>39</v>
      </c>
    </row>
    <row r="26" spans="18:23">
      <c r="R26" s="2">
        <f>P2-F2</f>
        <v>-0.33333333333333215</v>
      </c>
      <c r="S26" s="2">
        <f>ABS(R26)</f>
        <v>0.33333333333333215</v>
      </c>
      <c r="T26" s="2">
        <f>P2-I2</f>
        <v>0.36666666666666714</v>
      </c>
      <c r="U26" s="2">
        <f>ABS(T26)</f>
        <v>0.36666666666666714</v>
      </c>
      <c r="V26" s="2">
        <f>P2-L2</f>
        <v>-3.3333333333333215E-2</v>
      </c>
      <c r="W26" s="2">
        <f>ABS(V26)</f>
        <v>3.3333333333333215E-2</v>
      </c>
    </row>
    <row r="27" spans="18:23">
      <c r="R27" s="2">
        <f t="shared" ref="R27:R32" si="14">P3-F3</f>
        <v>-0.46666666666666679</v>
      </c>
      <c r="S27" s="2">
        <f t="shared" ref="S27:S32" si="15">ABS(R27)</f>
        <v>0.46666666666666679</v>
      </c>
      <c r="T27" s="2">
        <f t="shared" ref="T27:T32" si="16">P3-I3</f>
        <v>3.3333333333333215E-2</v>
      </c>
      <c r="U27" s="2">
        <f t="shared" ref="U27:U32" si="17">ABS(T27)</f>
        <v>3.3333333333333215E-2</v>
      </c>
      <c r="V27" s="2">
        <f t="shared" ref="V27:V32" si="18">P3-L3</f>
        <v>0.43333333333333357</v>
      </c>
      <c r="W27" s="2">
        <f t="shared" ref="W27:W32" si="19">ABS(V27)</f>
        <v>0.43333333333333357</v>
      </c>
    </row>
    <row r="28" spans="18:23">
      <c r="R28" s="2">
        <f t="shared" si="14"/>
        <v>0</v>
      </c>
      <c r="S28" s="2">
        <f t="shared" si="15"/>
        <v>0</v>
      </c>
      <c r="T28" s="2">
        <f t="shared" si="16"/>
        <v>1.2999999999999989</v>
      </c>
      <c r="U28" s="2">
        <f t="shared" si="17"/>
        <v>1.2999999999999989</v>
      </c>
      <c r="V28" s="2">
        <f t="shared" si="18"/>
        <v>-1.3000000000000007</v>
      </c>
      <c r="W28" s="2">
        <f t="shared" si="19"/>
        <v>1.3000000000000007</v>
      </c>
    </row>
    <row r="29" spans="18:23">
      <c r="R29" s="2">
        <f t="shared" si="14"/>
        <v>1.0666666666666664</v>
      </c>
      <c r="S29" s="2">
        <f t="shared" si="15"/>
        <v>1.0666666666666664</v>
      </c>
      <c r="T29" s="2">
        <f t="shared" si="16"/>
        <v>1.2666666666666675</v>
      </c>
      <c r="U29" s="2">
        <f t="shared" si="17"/>
        <v>1.2666666666666675</v>
      </c>
      <c r="V29" s="2">
        <f t="shared" si="18"/>
        <v>-2.3333333333333339</v>
      </c>
      <c r="W29" s="2">
        <f t="shared" si="19"/>
        <v>2.3333333333333339</v>
      </c>
    </row>
    <row r="30" spans="18:23">
      <c r="R30" s="2">
        <f t="shared" si="14"/>
        <v>-0.9666666666666659</v>
      </c>
      <c r="S30" s="2">
        <f t="shared" si="15"/>
        <v>0.9666666666666659</v>
      </c>
      <c r="T30" s="2">
        <f t="shared" si="16"/>
        <v>0.83333333333333393</v>
      </c>
      <c r="U30" s="2">
        <f t="shared" si="17"/>
        <v>0.83333333333333393</v>
      </c>
      <c r="V30" s="2">
        <f t="shared" si="18"/>
        <v>0.13333333333333375</v>
      </c>
      <c r="W30" s="2">
        <f t="shared" si="19"/>
        <v>0.13333333333333375</v>
      </c>
    </row>
    <row r="31" spans="18:23">
      <c r="R31" s="2">
        <f t="shared" si="14"/>
        <v>3.3333333333334103E-2</v>
      </c>
      <c r="S31" s="2">
        <f t="shared" si="15"/>
        <v>3.3333333333334103E-2</v>
      </c>
      <c r="T31" s="2">
        <f t="shared" si="16"/>
        <v>-0.86666666666666625</v>
      </c>
      <c r="U31" s="2">
        <f t="shared" si="17"/>
        <v>0.86666666666666625</v>
      </c>
      <c r="V31" s="2">
        <f t="shared" si="18"/>
        <v>0.83333333333333393</v>
      </c>
      <c r="W31" s="2">
        <f t="shared" si="19"/>
        <v>0.83333333333333393</v>
      </c>
    </row>
    <row r="32" spans="18:23">
      <c r="R32" s="2">
        <f t="shared" si="14"/>
        <v>-0.43333333333333357</v>
      </c>
      <c r="S32" s="2">
        <f t="shared" si="15"/>
        <v>0.43333333333333357</v>
      </c>
      <c r="T32" s="2">
        <f t="shared" si="16"/>
        <v>0.46666666666666679</v>
      </c>
      <c r="U32" s="2">
        <f t="shared" si="17"/>
        <v>0.46666666666666679</v>
      </c>
      <c r="V32" s="2">
        <f t="shared" si="18"/>
        <v>-3.3333333333333215E-2</v>
      </c>
      <c r="W32" s="2">
        <f t="shared" si="19"/>
        <v>3.3333333333333215E-2</v>
      </c>
    </row>
    <row r="34" spans="18:27">
      <c r="R34" t="s">
        <v>49</v>
      </c>
      <c r="S34" t="s">
        <v>50</v>
      </c>
      <c r="T34" t="s">
        <v>51</v>
      </c>
      <c r="Y34" t="s">
        <v>52</v>
      </c>
      <c r="Z34" t="s">
        <v>53</v>
      </c>
      <c r="AA34" t="s">
        <v>54</v>
      </c>
    </row>
    <row r="35" spans="18:27">
      <c r="R35" s="2">
        <f>AVERAGE(S26:S32)</f>
        <v>0.47142857142857125</v>
      </c>
      <c r="S35" s="2">
        <f>AVERAGE(U26:U32)</f>
        <v>0.73333333333333339</v>
      </c>
      <c r="T35" s="2">
        <f>AVERAGE(W26:W32)</f>
        <v>0.72857142857142887</v>
      </c>
      <c r="Y35" s="4">
        <f>AVERAGE(R11,R23,R35)</f>
        <v>0.62698412698412731</v>
      </c>
      <c r="Z35" s="2">
        <f>AVERAGE(S11,S23,S35)</f>
        <v>1.0349206349206346</v>
      </c>
      <c r="AA35" s="2">
        <f>AVERAGE(T11,T23,T35)</f>
        <v>0.94444444444444431</v>
      </c>
    </row>
    <row r="37" spans="18:27">
      <c r="Y37" s="3" t="s">
        <v>55</v>
      </c>
      <c r="Z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E12" sqref="E12"/>
    </sheetView>
  </sheetViews>
  <sheetFormatPr defaultRowHeight="14.4"/>
  <cols>
    <col min="3" max="3" width="10.6640625" bestFit="1" customWidth="1"/>
  </cols>
  <sheetData>
    <row r="1" spans="1:26">
      <c r="A1" s="18" t="s">
        <v>72</v>
      </c>
      <c r="C1" s="7">
        <v>44950</v>
      </c>
      <c r="D1" t="s">
        <v>81</v>
      </c>
      <c r="E1">
        <v>5</v>
      </c>
      <c r="F1" t="s">
        <v>26</v>
      </c>
      <c r="G1" s="9">
        <v>0</v>
      </c>
      <c r="H1">
        <v>10</v>
      </c>
      <c r="I1">
        <v>10</v>
      </c>
      <c r="J1" s="19">
        <v>21.5</v>
      </c>
      <c r="K1" s="19">
        <v>13.9</v>
      </c>
      <c r="L1" s="19">
        <v>10.6</v>
      </c>
      <c r="M1" s="10">
        <f t="shared" ref="M1" si="0">(J1+K1)/2</f>
        <v>17.7</v>
      </c>
      <c r="N1" s="15">
        <f t="shared" ref="N1:Q2" si="1">J1/MAX($J1:$M1)</f>
        <v>1</v>
      </c>
      <c r="O1" s="15">
        <f t="shared" si="1"/>
        <v>0.6465116279069768</v>
      </c>
      <c r="P1" s="15">
        <f t="shared" si="1"/>
        <v>0.49302325581395345</v>
      </c>
      <c r="Q1" s="15">
        <f t="shared" si="1"/>
        <v>0.82325581395348835</v>
      </c>
      <c r="R1" s="16">
        <f t="shared" ref="R1:R2" si="2">Q1-P1</f>
        <v>0.33023255813953489</v>
      </c>
      <c r="S1" s="16">
        <f t="shared" ref="S1:S2" si="3">N1-O1</f>
        <v>0.3534883720930232</v>
      </c>
      <c r="T1" s="14">
        <f t="shared" ref="T1:T2" si="4">IF($E1=5, S1,NA())</f>
        <v>0.3534883720930232</v>
      </c>
      <c r="U1" s="13" t="e">
        <f t="shared" ref="U1:U2" si="5">IF($E1=6, S1,NA())</f>
        <v>#N/A</v>
      </c>
      <c r="V1" s="17">
        <f t="shared" ref="V1:V2" si="6">SQRT(R1^2+S1^2)</f>
        <v>0.48374329107529429</v>
      </c>
      <c r="W1" s="17">
        <f t="shared" ref="W1:W2" si="7">SIGN(R1)*ACOS(S1/V1)*(180/PI())</f>
        <v>43.051914993485049</v>
      </c>
      <c r="X1">
        <f t="shared" ref="X1:X2" si="8">((J1^2)-K1)-L1</f>
        <v>437.75</v>
      </c>
      <c r="Y1">
        <f t="shared" ref="Y1" si="9">(0.21*J1+0.72*K1+0.07*L1)</f>
        <v>15.265000000000001</v>
      </c>
      <c r="Z1">
        <f t="shared" ref="Z1" si="10">K1-L1</f>
        <v>3.3000000000000007</v>
      </c>
    </row>
    <row r="2" spans="1:26">
      <c r="A2" s="18" t="s">
        <v>105</v>
      </c>
      <c r="B2" t="s">
        <v>6</v>
      </c>
      <c r="C2" s="7">
        <v>44953</v>
      </c>
      <c r="D2" t="s">
        <v>81</v>
      </c>
      <c r="E2">
        <v>5</v>
      </c>
      <c r="F2" t="s">
        <v>26</v>
      </c>
      <c r="G2" s="9">
        <v>0</v>
      </c>
      <c r="H2">
        <v>10</v>
      </c>
      <c r="I2">
        <v>10</v>
      </c>
      <c r="J2" s="19">
        <v>19.8</v>
      </c>
      <c r="K2" s="19">
        <v>14</v>
      </c>
      <c r="L2" s="19">
        <v>10.9</v>
      </c>
      <c r="M2" s="10">
        <f>(J2+K2)/2</f>
        <v>16.899999999999999</v>
      </c>
      <c r="N2" s="11">
        <f t="shared" si="1"/>
        <v>1</v>
      </c>
      <c r="O2" s="11">
        <f t="shared" si="1"/>
        <v>0.70707070707070707</v>
      </c>
      <c r="P2" s="11">
        <f t="shared" si="1"/>
        <v>0.5505050505050505</v>
      </c>
      <c r="Q2" s="11">
        <f t="shared" si="1"/>
        <v>0.85353535353535348</v>
      </c>
      <c r="R2" s="12">
        <f t="shared" si="2"/>
        <v>0.30303030303030298</v>
      </c>
      <c r="S2" s="12">
        <f t="shared" si="3"/>
        <v>0.29292929292929293</v>
      </c>
      <c r="T2" s="13">
        <f t="shared" si="4"/>
        <v>0.29292929292929293</v>
      </c>
      <c r="U2" s="13" t="e">
        <f t="shared" si="5"/>
        <v>#N/A</v>
      </c>
      <c r="V2" s="17">
        <f t="shared" si="6"/>
        <v>0.42146759686919316</v>
      </c>
      <c r="W2" s="17">
        <f t="shared" si="7"/>
        <v>45.97102193107915</v>
      </c>
      <c r="X2">
        <f t="shared" si="8"/>
        <v>367.14000000000004</v>
      </c>
      <c r="Y2">
        <f>(0.21*J2+0.72*K2+0.07*L2)</f>
        <v>15.000999999999999</v>
      </c>
      <c r="Z2">
        <f>K2-L2</f>
        <v>3.0999999999999996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200"/>
  <sheetViews>
    <sheetView topLeftCell="AU57" workbookViewId="0">
      <selection activeCell="BE58" sqref="BE58"/>
    </sheetView>
  </sheetViews>
  <sheetFormatPr defaultRowHeight="14.4"/>
  <cols>
    <col min="1" max="1" width="11" customWidth="1"/>
    <col min="2" max="2" width="11.33203125" bestFit="1" customWidth="1"/>
    <col min="4" max="4" width="5.33203125" customWidth="1"/>
    <col min="5" max="5" width="5.109375" customWidth="1"/>
    <col min="6" max="6" width="3.6640625" style="9" customWidth="1"/>
    <col min="7" max="8" width="4.33203125" customWidth="1"/>
    <col min="9" max="9" width="5.33203125" style="20" customWidth="1"/>
    <col min="10" max="10" width="5.88671875" style="20" customWidth="1"/>
    <col min="11" max="11" width="6.109375" style="20" customWidth="1"/>
    <col min="12" max="12" width="6.109375" style="21" customWidth="1"/>
    <col min="13" max="16" width="6.109375" style="15" customWidth="1"/>
    <col min="17" max="18" width="6.109375" style="16" customWidth="1"/>
    <col min="19" max="20" width="7" style="14" customWidth="1"/>
    <col min="21" max="21" width="6.109375" style="22" customWidth="1"/>
    <col min="22" max="22" width="7.33203125" style="22" customWidth="1"/>
    <col min="23" max="24" width="9.6640625" style="22" customWidth="1"/>
    <col min="25" max="26" width="9.109375" style="2"/>
    <col min="27" max="27" width="9.109375" style="5"/>
    <col min="28" max="28" width="10.33203125" style="23" customWidth="1"/>
    <col min="29" max="29" width="9.109375" style="23"/>
    <col min="30" max="30" width="10.6640625" style="23" customWidth="1"/>
    <col min="31" max="32" width="9.109375" style="23"/>
    <col min="33" max="33" width="8.5546875" style="23" customWidth="1"/>
    <col min="34" max="34" width="8.109375" style="23" customWidth="1"/>
    <col min="35" max="35" width="7.88671875" style="2" customWidth="1"/>
    <col min="36" max="38" width="9.109375" style="2"/>
    <col min="39" max="39" width="10.88671875" style="2" customWidth="1"/>
    <col min="40" max="43" width="12.44140625" customWidth="1"/>
    <col min="44" max="49" width="11" customWidth="1"/>
    <col min="50" max="51" width="11" style="2" customWidth="1"/>
    <col min="52" max="56" width="11" customWidth="1"/>
    <col min="57" max="57" width="12.88671875" customWidth="1"/>
    <col min="58" max="58" width="11" customWidth="1"/>
    <col min="59" max="59" width="9.88671875" customWidth="1"/>
    <col min="60" max="60" width="9.44140625" customWidth="1"/>
    <col min="61" max="62" width="9.109375" customWidth="1"/>
  </cols>
  <sheetData>
    <row r="1" spans="1:67">
      <c r="A1" t="s">
        <v>0</v>
      </c>
      <c r="B1" t="s">
        <v>80</v>
      </c>
      <c r="C1" t="s">
        <v>82</v>
      </c>
      <c r="D1" t="s">
        <v>1</v>
      </c>
      <c r="E1" t="s">
        <v>2</v>
      </c>
      <c r="F1" s="9" t="s">
        <v>27</v>
      </c>
      <c r="G1" t="s">
        <v>3</v>
      </c>
      <c r="H1" t="s">
        <v>4</v>
      </c>
      <c r="I1" s="20" t="s">
        <v>6</v>
      </c>
      <c r="J1" s="20" t="s">
        <v>7</v>
      </c>
      <c r="K1" s="20" t="s">
        <v>8</v>
      </c>
      <c r="L1" s="21" t="s">
        <v>93</v>
      </c>
      <c r="M1" s="15" t="s">
        <v>94</v>
      </c>
      <c r="N1" s="15" t="s">
        <v>95</v>
      </c>
      <c r="O1" s="15" t="s">
        <v>96</v>
      </c>
      <c r="P1" s="15" t="s">
        <v>97</v>
      </c>
      <c r="Q1" s="16" t="s">
        <v>99</v>
      </c>
      <c r="R1" s="16" t="s">
        <v>98</v>
      </c>
      <c r="S1" s="14" t="s">
        <v>169</v>
      </c>
      <c r="T1" s="14" t="s">
        <v>170</v>
      </c>
      <c r="U1" s="22" t="s">
        <v>103</v>
      </c>
      <c r="V1" s="22" t="s">
        <v>102</v>
      </c>
      <c r="W1" s="22" t="s">
        <v>171</v>
      </c>
      <c r="X1" s="22" t="s">
        <v>172</v>
      </c>
      <c r="Y1" s="2" t="s">
        <v>56</v>
      </c>
      <c r="Z1" s="2" t="s">
        <v>57</v>
      </c>
      <c r="AB1" s="23" t="s">
        <v>122</v>
      </c>
      <c r="AC1" s="23" t="s">
        <v>123</v>
      </c>
      <c r="AD1" s="23" t="s">
        <v>121</v>
      </c>
      <c r="AE1" s="23" t="s">
        <v>120</v>
      </c>
      <c r="AG1" s="14" t="s">
        <v>133</v>
      </c>
      <c r="AH1" s="14" t="s">
        <v>134</v>
      </c>
      <c r="AI1" s="28" t="s">
        <v>135</v>
      </c>
      <c r="AJ1" s="40" t="s">
        <v>130</v>
      </c>
      <c r="AK1" s="40" t="s">
        <v>131</v>
      </c>
      <c r="AL1" s="41" t="s">
        <v>132</v>
      </c>
      <c r="AM1" s="24" t="s">
        <v>126</v>
      </c>
      <c r="AN1" s="24" t="s">
        <v>127</v>
      </c>
      <c r="AR1" s="14" t="s">
        <v>133</v>
      </c>
      <c r="AS1" s="14" t="s">
        <v>134</v>
      </c>
      <c r="AT1" s="28" t="s">
        <v>135</v>
      </c>
      <c r="AU1" s="40" t="s">
        <v>130</v>
      </c>
      <c r="AV1" s="40" t="s">
        <v>131</v>
      </c>
      <c r="AW1" s="41" t="s">
        <v>132</v>
      </c>
      <c r="AX1" s="24" t="s">
        <v>126</v>
      </c>
      <c r="AY1" s="24" t="s">
        <v>127</v>
      </c>
      <c r="AZ1" s="24"/>
      <c r="BA1" s="24"/>
      <c r="BB1" s="24"/>
      <c r="BC1" s="24"/>
      <c r="BD1" s="24"/>
      <c r="BH1" t="s">
        <v>23</v>
      </c>
      <c r="BI1" s="1"/>
      <c r="BJ1" s="1" t="s">
        <v>24</v>
      </c>
      <c r="BL1" t="s">
        <v>25</v>
      </c>
    </row>
    <row r="2" spans="1:67" s="27" customFormat="1">
      <c r="A2" s="26" t="s">
        <v>116</v>
      </c>
      <c r="B2" s="7">
        <v>44950</v>
      </c>
      <c r="C2" t="s">
        <v>81</v>
      </c>
      <c r="D2">
        <v>5</v>
      </c>
      <c r="E2" t="s">
        <v>17</v>
      </c>
      <c r="F2" s="9"/>
      <c r="G2">
        <v>9</v>
      </c>
      <c r="H2">
        <v>9</v>
      </c>
      <c r="I2" s="19">
        <v>22.9</v>
      </c>
      <c r="J2" s="19">
        <v>14.7</v>
      </c>
      <c r="K2" s="19">
        <v>9.9</v>
      </c>
      <c r="L2" s="21">
        <f t="shared" ref="L2:L5" si="0">(I2+J2)/2</f>
        <v>18.799999999999997</v>
      </c>
      <c r="M2" s="15">
        <f t="shared" ref="M2:P5" si="1">I2/MAX($I2:$L2)</f>
        <v>1</v>
      </c>
      <c r="N2" s="15">
        <f t="shared" si="1"/>
        <v>0.64192139737991272</v>
      </c>
      <c r="O2" s="15">
        <f t="shared" si="1"/>
        <v>0.43231441048034941</v>
      </c>
      <c r="P2" s="15">
        <f t="shared" si="1"/>
        <v>0.82096069868995625</v>
      </c>
      <c r="Q2" s="16">
        <f t="shared" ref="Q2:Q5" si="2">P2-O2</f>
        <v>0.38864628820960684</v>
      </c>
      <c r="R2" s="16">
        <f t="shared" ref="R2:R5" si="3">M2-N2</f>
        <v>0.35807860262008728</v>
      </c>
      <c r="S2" s="28" t="e">
        <f>IF($E2="M", R2,NA())</f>
        <v>#N/A</v>
      </c>
      <c r="T2" s="28">
        <f>IF($E2="F", R2,NA())</f>
        <v>0.35807860262008728</v>
      </c>
      <c r="U2" s="22">
        <f t="shared" ref="U2:U59" si="4">SIGN(Q2)*ACOS(R2/V2)*(180/PI())</f>
        <v>47.344132474069824</v>
      </c>
      <c r="V2" s="22">
        <f t="shared" ref="V2:V5" si="5">SQRT(Q2^2+R2^2)</f>
        <v>0.52845645326124946</v>
      </c>
      <c r="W2" s="22" t="e">
        <f>IF($E2="M", V2,NA())</f>
        <v>#N/A</v>
      </c>
      <c r="X2" s="22">
        <f>IF($E2="F", V2,NA())</f>
        <v>0.52845645326124946</v>
      </c>
      <c r="Y2" s="25">
        <f t="shared" ref="Y2:Y5" si="6">((I2^2)-J2)-K2</f>
        <v>499.81</v>
      </c>
      <c r="Z2" s="25">
        <f t="shared" ref="Z2:Z5" si="7">(0.21*I2+0.72*J2+0.07*K2)</f>
        <v>16.085999999999999</v>
      </c>
      <c r="AA2" s="29"/>
      <c r="AB2" s="24">
        <f>MAX(Q2:Q5)-MIN(Q2:Q5)</f>
        <v>6.4122154309504797E-2</v>
      </c>
      <c r="AC2" s="24">
        <f>MAX(R2:R5)-MIN(R2:R5)</f>
        <v>8.7930787051274217E-2</v>
      </c>
      <c r="AD2" s="24">
        <f>MAX(V2:V5)-MIN(V2:V5)</f>
        <v>9.0425343203232589E-2</v>
      </c>
      <c r="AE2" s="24">
        <f>MAX(U2:U5)-MIN(U2:U5)</f>
        <v>5.5136259930155163</v>
      </c>
      <c r="AF2" s="24"/>
      <c r="AG2" s="43">
        <v>13.269743365268708</v>
      </c>
      <c r="AH2" s="43">
        <v>43.910145487521987</v>
      </c>
      <c r="AI2" s="43">
        <v>2.3306883716466347</v>
      </c>
      <c r="AJ2" s="44">
        <v>7.8765037707247627</v>
      </c>
      <c r="AK2" s="44">
        <v>42.768967914167561</v>
      </c>
      <c r="AL2" s="44">
        <v>1.747347780712786</v>
      </c>
      <c r="AM2" s="42">
        <f t="array" ref="AM2">SQRT(SUM((AK6:AK38-AM6:AM38)^2))</f>
        <v>2.2657519113647413</v>
      </c>
      <c r="AN2" s="42">
        <f t="array" ref="AN2">SQRT(SUM((AL6:AL38-AN6:AN38)^2))</f>
        <v>3.3432977874698495</v>
      </c>
      <c r="AO2" s="45"/>
      <c r="AP2" s="45"/>
      <c r="AQ2" s="45"/>
      <c r="AR2" s="43">
        <v>12.3547740532159</v>
      </c>
      <c r="AS2" s="43">
        <v>0.54144692240258196</v>
      </c>
      <c r="AT2" s="43">
        <v>3.1500702600399978E-2</v>
      </c>
      <c r="AU2" s="44">
        <v>17.208633813893456</v>
      </c>
      <c r="AV2" s="44">
        <v>0.63107104692062466</v>
      </c>
      <c r="AW2" s="44">
        <v>1.6625265162282948E-2</v>
      </c>
      <c r="AX2" s="42">
        <f t="array" ref="AX2">SQRT(SUM((AV6:AV17-AX6:AX17)^2))</f>
        <v>8.5400765089142983</v>
      </c>
      <c r="AY2" s="42">
        <f t="array" ref="AY2">SQRT(SUM((AW6:AW17-AY6:AY17)^2))</f>
        <v>5.3850562444391077</v>
      </c>
      <c r="AZ2" s="24"/>
      <c r="BA2" s="24"/>
      <c r="BB2" s="24"/>
      <c r="BC2" s="24"/>
      <c r="BD2" s="24"/>
      <c r="BI2" s="30"/>
      <c r="BJ2" s="30"/>
    </row>
    <row r="3" spans="1:67" s="27" customFormat="1">
      <c r="A3" s="26" t="s">
        <v>117</v>
      </c>
      <c r="B3" s="7">
        <v>44950</v>
      </c>
      <c r="C3" t="s">
        <v>81</v>
      </c>
      <c r="D3">
        <v>5</v>
      </c>
      <c r="E3" t="s">
        <v>17</v>
      </c>
      <c r="F3" s="9"/>
      <c r="G3">
        <v>9</v>
      </c>
      <c r="H3">
        <v>9</v>
      </c>
      <c r="I3" s="19">
        <v>23.5</v>
      </c>
      <c r="J3" s="19">
        <v>14.9</v>
      </c>
      <c r="K3" s="19">
        <v>10.3</v>
      </c>
      <c r="L3" s="21">
        <f t="shared" si="0"/>
        <v>19.2</v>
      </c>
      <c r="M3" s="15">
        <f t="shared" si="1"/>
        <v>1</v>
      </c>
      <c r="N3" s="15">
        <f t="shared" si="1"/>
        <v>0.63404255319148939</v>
      </c>
      <c r="O3" s="15">
        <f t="shared" si="1"/>
        <v>0.43829787234042555</v>
      </c>
      <c r="P3" s="15">
        <f t="shared" si="1"/>
        <v>0.81702127659574464</v>
      </c>
      <c r="Q3" s="16">
        <f t="shared" si="2"/>
        <v>0.37872340425531908</v>
      </c>
      <c r="R3" s="16">
        <f t="shared" si="3"/>
        <v>0.36595744680851061</v>
      </c>
      <c r="S3" s="28" t="e">
        <f t="shared" ref="S3:S59" si="8">IF($E3="M", R3,NA())</f>
        <v>#N/A</v>
      </c>
      <c r="T3" s="28">
        <f t="shared" ref="T3:T59" si="9">IF($E3="F", R3,NA())</f>
        <v>0.36595744680851061</v>
      </c>
      <c r="U3" s="22">
        <f t="shared" si="4"/>
        <v>45.982117163224189</v>
      </c>
      <c r="V3" s="22">
        <f t="shared" si="5"/>
        <v>0.52664624730965448</v>
      </c>
      <c r="W3" s="22" t="e">
        <f t="shared" ref="W3:W59" si="10">IF($E3="M", V3,NA())</f>
        <v>#N/A</v>
      </c>
      <c r="X3" s="22">
        <f t="shared" ref="X3:X59" si="11">IF($E3="F", V3,NA())</f>
        <v>0.52664624730965448</v>
      </c>
      <c r="Y3" s="25">
        <f t="shared" si="6"/>
        <v>527.05000000000007</v>
      </c>
      <c r="Z3" s="25">
        <f t="shared" si="7"/>
        <v>16.384</v>
      </c>
      <c r="AA3" s="29"/>
      <c r="AB3" s="24"/>
      <c r="AC3" s="24"/>
      <c r="AD3" s="24"/>
      <c r="AE3" s="24"/>
      <c r="AF3" s="24"/>
      <c r="AG3" s="24"/>
      <c r="AH3" s="24"/>
      <c r="AI3" s="25"/>
      <c r="AJ3" s="24"/>
      <c r="AK3" s="24"/>
      <c r="AL3" s="24"/>
      <c r="AM3" s="24"/>
      <c r="AN3" s="24"/>
      <c r="AO3" s="24"/>
      <c r="AP3" s="24"/>
      <c r="AQ3" s="24"/>
      <c r="AX3" s="25"/>
      <c r="AY3" s="25"/>
    </row>
    <row r="4" spans="1:67" s="27" customFormat="1">
      <c r="A4" s="26" t="s">
        <v>118</v>
      </c>
      <c r="B4" s="7">
        <v>44950</v>
      </c>
      <c r="C4" t="s">
        <v>81</v>
      </c>
      <c r="D4">
        <v>5</v>
      </c>
      <c r="E4" t="s">
        <v>17</v>
      </c>
      <c r="F4" s="9"/>
      <c r="G4">
        <v>9</v>
      </c>
      <c r="H4">
        <v>9</v>
      </c>
      <c r="I4" s="19">
        <v>21.2</v>
      </c>
      <c r="J4" s="19">
        <v>13.1</v>
      </c>
      <c r="K4" s="19">
        <v>9.9</v>
      </c>
      <c r="L4" s="21">
        <f t="shared" si="0"/>
        <v>17.149999999999999</v>
      </c>
      <c r="M4" s="15">
        <f t="shared" si="1"/>
        <v>1</v>
      </c>
      <c r="N4" s="15">
        <f t="shared" si="1"/>
        <v>0.61792452830188682</v>
      </c>
      <c r="O4" s="15">
        <f t="shared" si="1"/>
        <v>0.46698113207547171</v>
      </c>
      <c r="P4" s="15">
        <f t="shared" si="1"/>
        <v>0.80896226415094341</v>
      </c>
      <c r="Q4" s="16">
        <f t="shared" si="2"/>
        <v>0.34198113207547171</v>
      </c>
      <c r="R4" s="16">
        <f t="shared" si="3"/>
        <v>0.38207547169811318</v>
      </c>
      <c r="S4" s="28" t="e">
        <f t="shared" si="8"/>
        <v>#N/A</v>
      </c>
      <c r="T4" s="28">
        <f t="shared" si="9"/>
        <v>0.38207547169811318</v>
      </c>
      <c r="U4" s="22">
        <f t="shared" si="4"/>
        <v>41.830506481054307</v>
      </c>
      <c r="V4" s="22">
        <f t="shared" si="5"/>
        <v>0.51276969564216335</v>
      </c>
      <c r="W4" s="22" t="e">
        <f t="shared" si="10"/>
        <v>#N/A</v>
      </c>
      <c r="X4" s="22">
        <f t="shared" si="11"/>
        <v>0.51276969564216335</v>
      </c>
      <c r="Y4" s="25">
        <f t="shared" si="6"/>
        <v>426.44</v>
      </c>
      <c r="Z4" s="25">
        <f t="shared" si="7"/>
        <v>14.576999999999998</v>
      </c>
      <c r="AA4" s="29"/>
      <c r="AB4" s="24"/>
      <c r="AC4" s="24"/>
      <c r="AD4" s="24"/>
      <c r="AE4" s="24"/>
      <c r="AF4" s="24"/>
      <c r="AG4" s="24"/>
      <c r="AH4" s="24"/>
      <c r="AI4" s="25"/>
      <c r="AJ4" s="24"/>
      <c r="AK4" s="24"/>
      <c r="AL4" s="24"/>
      <c r="AM4" s="24"/>
      <c r="AN4" s="24"/>
      <c r="AO4" s="24"/>
      <c r="AP4" s="24"/>
      <c r="AQ4" s="24"/>
      <c r="AX4" s="25"/>
      <c r="AY4" s="25"/>
      <c r="BE4" s="27" t="s">
        <v>19</v>
      </c>
      <c r="BF4" s="27" t="s">
        <v>9</v>
      </c>
      <c r="BG4" s="27" t="s">
        <v>10</v>
      </c>
      <c r="BH4" s="27" t="s">
        <v>11</v>
      </c>
      <c r="BI4" s="27" t="s">
        <v>12</v>
      </c>
      <c r="BJ4" s="27" t="s">
        <v>13</v>
      </c>
      <c r="BK4" s="27" t="s">
        <v>14</v>
      </c>
      <c r="BM4" s="27" t="s">
        <v>109</v>
      </c>
      <c r="BN4" s="27" t="s">
        <v>110</v>
      </c>
      <c r="BO4" s="27" t="s">
        <v>111</v>
      </c>
    </row>
    <row r="5" spans="1:67" s="32" customFormat="1">
      <c r="A5" s="31" t="s">
        <v>119</v>
      </c>
      <c r="B5" s="7">
        <v>44950</v>
      </c>
      <c r="C5" t="s">
        <v>81</v>
      </c>
      <c r="D5">
        <v>5</v>
      </c>
      <c r="E5" t="s">
        <v>17</v>
      </c>
      <c r="F5" s="9"/>
      <c r="G5">
        <v>9</v>
      </c>
      <c r="H5">
        <v>9</v>
      </c>
      <c r="I5" s="33">
        <v>21.3</v>
      </c>
      <c r="J5" s="33">
        <v>11.8</v>
      </c>
      <c r="K5" s="33">
        <v>7.9</v>
      </c>
      <c r="L5" s="34">
        <f t="shared" si="0"/>
        <v>16.55</v>
      </c>
      <c r="M5" s="35">
        <f t="shared" si="1"/>
        <v>1</v>
      </c>
      <c r="N5" s="35">
        <f t="shared" si="1"/>
        <v>0.5539906103286385</v>
      </c>
      <c r="O5" s="35">
        <f t="shared" si="1"/>
        <v>0.37089201877934275</v>
      </c>
      <c r="P5" s="35">
        <f t="shared" si="1"/>
        <v>0.77699530516431925</v>
      </c>
      <c r="Q5" s="36">
        <f t="shared" si="2"/>
        <v>0.4061032863849765</v>
      </c>
      <c r="R5" s="36">
        <f t="shared" si="3"/>
        <v>0.4460093896713615</v>
      </c>
      <c r="S5" s="28" t="e">
        <f t="shared" si="8"/>
        <v>#N/A</v>
      </c>
      <c r="T5" s="28">
        <f t="shared" si="9"/>
        <v>0.4460093896713615</v>
      </c>
      <c r="U5" s="38">
        <f t="shared" si="4"/>
        <v>42.318685682324514</v>
      </c>
      <c r="V5" s="38">
        <f t="shared" si="5"/>
        <v>0.60319503884539594</v>
      </c>
      <c r="W5" s="22" t="e">
        <f t="shared" si="10"/>
        <v>#N/A</v>
      </c>
      <c r="X5" s="22">
        <f t="shared" si="11"/>
        <v>0.60319503884539594</v>
      </c>
      <c r="Y5" s="39">
        <f t="shared" si="6"/>
        <v>433.99000000000007</v>
      </c>
      <c r="Z5" s="39">
        <f t="shared" si="7"/>
        <v>13.522000000000002</v>
      </c>
      <c r="AA5" s="29"/>
      <c r="AB5" s="24"/>
      <c r="AC5" s="24"/>
      <c r="AD5" s="24"/>
      <c r="AE5" s="24"/>
      <c r="AF5" s="24"/>
      <c r="AG5" s="24"/>
      <c r="AH5" s="23" t="s">
        <v>168</v>
      </c>
      <c r="AI5" s="25" t="s">
        <v>173</v>
      </c>
      <c r="AJ5" s="23" t="s">
        <v>88</v>
      </c>
      <c r="AK5" s="23" t="s">
        <v>124</v>
      </c>
      <c r="AL5" s="23" t="s">
        <v>125</v>
      </c>
      <c r="AM5" s="28" t="s">
        <v>128</v>
      </c>
      <c r="AN5" s="41" t="s">
        <v>129</v>
      </c>
      <c r="AO5" s="24" t="s">
        <v>140</v>
      </c>
      <c r="AP5" s="24" t="s">
        <v>142</v>
      </c>
      <c r="AQ5" s="24" t="s">
        <v>141</v>
      </c>
      <c r="AR5" s="24"/>
      <c r="AS5" s="27" t="s">
        <v>174</v>
      </c>
      <c r="AT5" s="27" t="s">
        <v>175</v>
      </c>
      <c r="AU5" s="29" t="s">
        <v>88</v>
      </c>
      <c r="AV5" s="29" t="s">
        <v>124</v>
      </c>
      <c r="AW5" s="29" t="s">
        <v>125</v>
      </c>
      <c r="AX5" s="47" t="s">
        <v>128</v>
      </c>
      <c r="AY5" s="41" t="s">
        <v>129</v>
      </c>
      <c r="AZ5" s="29" t="s">
        <v>140</v>
      </c>
      <c r="BA5" s="29" t="s">
        <v>142</v>
      </c>
      <c r="BB5" s="29" t="s">
        <v>141</v>
      </c>
      <c r="BC5" s="29"/>
      <c r="BD5" s="27" t="s">
        <v>20</v>
      </c>
      <c r="BE5" s="27" t="s">
        <v>18</v>
      </c>
      <c r="BF5" s="27">
        <v>22.9</v>
      </c>
      <c r="BG5" s="27">
        <v>14.7</v>
      </c>
      <c r="BH5" s="27">
        <v>9.9</v>
      </c>
      <c r="BI5" s="27">
        <v>23.5</v>
      </c>
      <c r="BJ5" s="27">
        <v>14.9</v>
      </c>
      <c r="BK5" s="27">
        <v>10.3</v>
      </c>
      <c r="BL5" s="27"/>
      <c r="BM5" s="27">
        <f>MAX(BF5:BF6,BI5:BI6)-MIN(BF5:BF6,BI5:BI6)</f>
        <v>2.3000000000000007</v>
      </c>
      <c r="BN5" s="27">
        <f t="shared" ref="BN5:BO5" si="12">MAX(BG5:BG6,BJ5:BJ6)-MIN(BG5:BG6,BJ5:BJ6)</f>
        <v>3.0999999999999996</v>
      </c>
      <c r="BO5" s="27">
        <f t="shared" si="12"/>
        <v>2.4000000000000004</v>
      </c>
    </row>
    <row r="6" spans="1:67">
      <c r="A6" t="s">
        <v>18</v>
      </c>
      <c r="B6" s="7">
        <v>44950</v>
      </c>
      <c r="C6" t="s">
        <v>81</v>
      </c>
      <c r="D6">
        <v>5</v>
      </c>
      <c r="E6" t="s">
        <v>17</v>
      </c>
      <c r="G6">
        <v>9</v>
      </c>
      <c r="H6">
        <v>9</v>
      </c>
      <c r="I6" s="20">
        <v>22.5</v>
      </c>
      <c r="J6" s="20">
        <v>14.5</v>
      </c>
      <c r="K6" s="20">
        <v>10</v>
      </c>
      <c r="L6" s="21">
        <f>(I6+J6)/2</f>
        <v>18.5</v>
      </c>
      <c r="M6" s="15">
        <f>I6/MAX($I6:$L6)</f>
        <v>1</v>
      </c>
      <c r="N6" s="15">
        <f>J6/MAX($I6:$L6)</f>
        <v>0.64444444444444449</v>
      </c>
      <c r="O6" s="15">
        <f>K6/MAX($I6:$L6)</f>
        <v>0.44444444444444442</v>
      </c>
      <c r="P6" s="15">
        <f>L6/MAX($I6:$L6)</f>
        <v>0.82222222222222219</v>
      </c>
      <c r="Q6" s="16">
        <f>P6-O6</f>
        <v>0.37777777777777777</v>
      </c>
      <c r="R6" s="16">
        <f>M6-N6</f>
        <v>0.35555555555555551</v>
      </c>
      <c r="S6" s="28" t="e">
        <f t="shared" si="8"/>
        <v>#N/A</v>
      </c>
      <c r="T6" s="28">
        <f t="shared" si="9"/>
        <v>0.35555555555555551</v>
      </c>
      <c r="U6" s="22">
        <f t="shared" si="4"/>
        <v>46.735704588928392</v>
      </c>
      <c r="V6" s="22">
        <f>SQRT(Q6^2+R6^2)</f>
        <v>0.51878300133016675</v>
      </c>
      <c r="W6" s="22" t="e">
        <f t="shared" si="10"/>
        <v>#N/A</v>
      </c>
      <c r="X6" s="22">
        <f t="shared" si="11"/>
        <v>0.51878300133016675</v>
      </c>
      <c r="Y6" s="2">
        <f>((I6^2)-J6)-K6</f>
        <v>481.75</v>
      </c>
      <c r="Z6" s="2">
        <f>(0.21*I6+0.72*J6+0.07*K6)</f>
        <v>15.864999999999998</v>
      </c>
      <c r="AA6" s="29"/>
      <c r="AB6" s="24"/>
      <c r="AC6" s="24"/>
      <c r="AD6" s="24"/>
      <c r="AE6" s="24"/>
      <c r="AF6" s="24"/>
      <c r="AG6" s="24"/>
      <c r="AH6" s="24" t="str">
        <f>IF(E6="M",MROUND(U6, 2.5),"")</f>
        <v/>
      </c>
      <c r="AI6" s="2">
        <f>IF(E6="F",MROUND(U6, 2.5),"")</f>
        <v>47.5</v>
      </c>
      <c r="AJ6" s="24">
        <v>30</v>
      </c>
      <c r="AK6" s="42">
        <f t="array" ref="AK6:AK16">FREQUENCY(AH6:AH59,AJ6:AJ16)</f>
        <v>0</v>
      </c>
      <c r="AL6" s="42">
        <f t="array" ref="AL6:AL16">FREQUENCY(AI6:AI59,AJ6:AJ16)</f>
        <v>0</v>
      </c>
      <c r="AM6" s="28">
        <f t="shared" ref="AM6:AM16" si="13">$AG$2*(2.71828^(-((AJ6-$AH$2)^2)/(2*($AI$2^2))))</f>
        <v>2.4437962914317583E-7</v>
      </c>
      <c r="AN6" s="41">
        <f t="shared" ref="AN6:AN16" si="14">$AJ$2*(2.71828^(-((AJ6-$AK$2)^2)/(2*($AL$2^2))))</f>
        <v>1.9969542886097864E-11</v>
      </c>
      <c r="AO6" s="25">
        <v>25</v>
      </c>
      <c r="AP6" s="25">
        <f>$AG$2*(2.71828^(-((AO6-$AH$2)^2)/(2*($AI$2^2))))</f>
        <v>6.7321325497033456E-14</v>
      </c>
      <c r="AQ6" s="25">
        <f>$AJ$2*(2.71828^(-((AO6-$AK$2)^2)/(2*($AL$2^2))))</f>
        <v>2.7605071401963841E-22</v>
      </c>
      <c r="AR6" s="27"/>
      <c r="AS6" s="27" t="str">
        <f>IF(E6="M",MROUND(V6, 0.05),"")</f>
        <v/>
      </c>
      <c r="AT6" s="27">
        <f>IF(E6="F",MROUND(V6, 0.05),"")</f>
        <v>0.5</v>
      </c>
      <c r="AU6" s="27">
        <v>0.3</v>
      </c>
      <c r="AV6" s="27">
        <f t="array" ref="AV6:AV17">FREQUENCY(AS6:AS59,AU6:AU17)</f>
        <v>0</v>
      </c>
      <c r="AW6" s="27">
        <f t="array" ref="AW6:AW17">FREQUENCY(AT6:AT59,AU6:AU17)</f>
        <v>0</v>
      </c>
      <c r="AX6" s="47">
        <f>$AR$2*(2.71828^(-((AU6-$AS$2)^2)/(2*($AT$2^2))))</f>
        <v>2.160677607824168E-12</v>
      </c>
      <c r="AY6" s="41">
        <f>$AU$2*(2.71828^(-((AU6-$AV$2)^2)/(2*($AW$2^2))))</f>
        <v>1.3323574544947931E-85</v>
      </c>
      <c r="AZ6" s="27">
        <v>0.2</v>
      </c>
      <c r="BA6" s="25">
        <f>$AR$2*(2.71828^(-((AZ6-$AS$2)^2)/(2*($AT$2^2))))</f>
        <v>3.7925184881403499E-25</v>
      </c>
      <c r="BB6" s="25">
        <f>$AU$2*(2.71828^(-((AZ6-$AV$2)^2)/(2*($AW$2^2))))</f>
        <v>1.7726233674752124E-145</v>
      </c>
      <c r="BC6" s="25"/>
      <c r="BD6" s="27" t="s">
        <v>21</v>
      </c>
      <c r="BE6" s="27" t="s">
        <v>18</v>
      </c>
      <c r="BF6" s="27">
        <v>21.2</v>
      </c>
      <c r="BG6" s="27">
        <v>13.1</v>
      </c>
      <c r="BH6" s="27">
        <v>9.9</v>
      </c>
      <c r="BI6" s="27">
        <v>21.3</v>
      </c>
      <c r="BJ6" s="27">
        <v>11.8</v>
      </c>
      <c r="BK6" s="27">
        <v>7.9</v>
      </c>
      <c r="BL6" s="27"/>
      <c r="BM6" s="27"/>
      <c r="BN6" s="27"/>
      <c r="BO6" s="27"/>
    </row>
    <row r="7" spans="1:67">
      <c r="A7" t="s">
        <v>5</v>
      </c>
      <c r="B7" s="7">
        <v>44950</v>
      </c>
      <c r="C7" t="s">
        <v>81</v>
      </c>
      <c r="D7">
        <v>5</v>
      </c>
      <c r="E7" t="s">
        <v>17</v>
      </c>
      <c r="G7">
        <v>9</v>
      </c>
      <c r="H7">
        <v>9</v>
      </c>
      <c r="I7" s="20">
        <v>22.5</v>
      </c>
      <c r="J7" s="20">
        <v>13.3</v>
      </c>
      <c r="K7" s="20">
        <v>8.6999999999999993</v>
      </c>
      <c r="L7" s="21">
        <f>(I7+J7)/2</f>
        <v>17.899999999999999</v>
      </c>
      <c r="M7" s="15">
        <f t="shared" ref="M7:P59" si="15">I7/MAX($I7:$L7)</f>
        <v>1</v>
      </c>
      <c r="N7" s="15">
        <f t="shared" si="15"/>
        <v>0.59111111111111114</v>
      </c>
      <c r="O7" s="15">
        <f t="shared" si="15"/>
        <v>0.38666666666666666</v>
      </c>
      <c r="P7" s="15">
        <f t="shared" si="15"/>
        <v>0.79555555555555546</v>
      </c>
      <c r="Q7" s="16">
        <f>P7-O7</f>
        <v>0.4088888888888888</v>
      </c>
      <c r="R7" s="16">
        <f>M7-N7</f>
        <v>0.40888888888888886</v>
      </c>
      <c r="S7" s="28" t="e">
        <f t="shared" si="8"/>
        <v>#N/A</v>
      </c>
      <c r="T7" s="28">
        <f t="shared" si="9"/>
        <v>0.40888888888888886</v>
      </c>
      <c r="U7" s="22">
        <f t="shared" si="4"/>
        <v>44.999999999999993</v>
      </c>
      <c r="V7" s="22">
        <f>SQRT(Q7^2+R7^2)</f>
        <v>0.57825621217033207</v>
      </c>
      <c r="W7" s="22" t="e">
        <f t="shared" si="10"/>
        <v>#N/A</v>
      </c>
      <c r="X7" s="22">
        <f t="shared" si="11"/>
        <v>0.57825621217033207</v>
      </c>
      <c r="Y7" s="2">
        <f>((I7^2)-J7)-K7</f>
        <v>484.25</v>
      </c>
      <c r="Z7" s="2">
        <f>(0.21*I7+0.72*J7+0.07*K7)</f>
        <v>14.91</v>
      </c>
      <c r="AB7" s="24"/>
      <c r="AC7" s="24"/>
      <c r="AD7" s="24"/>
      <c r="AE7" s="24"/>
      <c r="AF7" s="24"/>
      <c r="AG7" s="24"/>
      <c r="AH7" s="24" t="str">
        <f t="shared" ref="AH7:AH59" si="16">IF(E7="M",MROUND(U7, 2.5),"")</f>
        <v/>
      </c>
      <c r="AI7" s="2">
        <f t="shared" ref="AI7:AI58" si="17">IF(E7="F",MROUND(U7, 2.5),"")</f>
        <v>45</v>
      </c>
      <c r="AJ7" s="24">
        <f>AJ6+2.5</f>
        <v>32.5</v>
      </c>
      <c r="AK7" s="42">
        <v>1</v>
      </c>
      <c r="AL7" s="42">
        <v>1</v>
      </c>
      <c r="AM7" s="28">
        <f t="shared" si="13"/>
        <v>8.2888612929915274E-5</v>
      </c>
      <c r="AN7" s="41">
        <f t="shared" si="14"/>
        <v>2.4919928173562315E-7</v>
      </c>
      <c r="AO7" s="25">
        <f>AO6+0.4</f>
        <v>25.4</v>
      </c>
      <c r="AP7" s="25">
        <f t="shared" ref="AP7:AP70" si="18">$AG$2*(2.71828^(-((AO7-$AH$2)^2)/(2*($AI$2^2))))</f>
        <v>2.6699256032387483E-13</v>
      </c>
      <c r="AQ7" s="25">
        <f t="shared" ref="AQ7:AQ70" si="19">$AJ$2*(2.71828^(-((AO7-$AK$2)^2)/(2*($AL$2^2))))</f>
        <v>2.7580433656612769E-21</v>
      </c>
      <c r="AS7" s="27" t="str">
        <f t="shared" ref="AS7:AS59" si="20">IF(E7="M",MROUND(V7, 0.05),"")</f>
        <v/>
      </c>
      <c r="AT7" s="27">
        <f t="shared" ref="AT7:AT58" si="21">IF(E7="F",MROUND(V7, 0.05),"")</f>
        <v>0.60000000000000009</v>
      </c>
      <c r="AU7">
        <f>AU6+0.05</f>
        <v>0.35</v>
      </c>
      <c r="AV7">
        <v>0</v>
      </c>
      <c r="AW7">
        <v>0</v>
      </c>
      <c r="AX7" s="47">
        <f t="shared" ref="AX7:AX17" si="22">$AR$2*(2.71828^(-((AU7-$AS$2)^2)/(2*($AT$2^2))))</f>
        <v>1.1780693339922121E-7</v>
      </c>
      <c r="AY7" s="41">
        <f t="shared" ref="AY7:AY17" si="23">$AU$2*(2.71828^(-((AU7-$AV$2)^2)/(2*($AW$2^2))))</f>
        <v>1.4805195259252652E-61</v>
      </c>
      <c r="AZ7">
        <f>AZ6+0.01</f>
        <v>0.21000000000000002</v>
      </c>
      <c r="BA7" s="25">
        <f t="shared" ref="BA7:BA70" si="24">$AR$2*(2.71828^(-((AZ7-$AS$2)^2)/(2*($AT$2^2))))</f>
        <v>1.1257552042372354E-23</v>
      </c>
      <c r="BB7" s="25">
        <f t="shared" ref="BB7:BB70" si="25">$AU$2*(2.71828^(-((AZ7-$AV$2)^2)/(2*($AW$2^2))))</f>
        <v>8.7757036675277232E-139</v>
      </c>
      <c r="BC7" s="25"/>
      <c r="BM7" t="s">
        <v>112</v>
      </c>
      <c r="BN7" t="s">
        <v>113</v>
      </c>
    </row>
    <row r="8" spans="1:67">
      <c r="A8" t="s">
        <v>58</v>
      </c>
      <c r="B8" s="7">
        <v>44950</v>
      </c>
      <c r="C8" t="s">
        <v>81</v>
      </c>
      <c r="D8">
        <v>5</v>
      </c>
      <c r="E8" t="s">
        <v>26</v>
      </c>
      <c r="F8" s="9">
        <v>0</v>
      </c>
      <c r="G8">
        <v>9</v>
      </c>
      <c r="H8">
        <v>9</v>
      </c>
      <c r="I8" s="20">
        <v>22.2</v>
      </c>
      <c r="J8" s="20">
        <v>14.4</v>
      </c>
      <c r="K8" s="20">
        <v>10.5</v>
      </c>
      <c r="L8" s="21">
        <f t="shared" ref="L8:L59" si="26">(I8+J8)/2</f>
        <v>18.3</v>
      </c>
      <c r="M8" s="15">
        <f t="shared" si="15"/>
        <v>1</v>
      </c>
      <c r="N8" s="15">
        <f t="shared" si="15"/>
        <v>0.64864864864864868</v>
      </c>
      <c r="O8" s="15">
        <f t="shared" si="15"/>
        <v>0.47297297297297297</v>
      </c>
      <c r="P8" s="15">
        <f t="shared" si="15"/>
        <v>0.82432432432432434</v>
      </c>
      <c r="Q8" s="16">
        <f t="shared" ref="Q8:Q59" si="27">P8-O8</f>
        <v>0.35135135135135137</v>
      </c>
      <c r="R8" s="16">
        <f t="shared" ref="R8:R59" si="28">M8-N8</f>
        <v>0.35135135135135132</v>
      </c>
      <c r="S8" s="28">
        <f t="shared" si="8"/>
        <v>0.35135135135135132</v>
      </c>
      <c r="T8" s="28" t="e">
        <f t="shared" si="9"/>
        <v>#N/A</v>
      </c>
      <c r="U8" s="22">
        <f t="shared" si="4"/>
        <v>45</v>
      </c>
      <c r="V8" s="22">
        <f t="shared" ref="V8:V59" si="29">SQRT(Q8^2+R8^2)</f>
        <v>0.49688584623919557</v>
      </c>
      <c r="W8" s="22">
        <f t="shared" si="10"/>
        <v>0.49688584623919557</v>
      </c>
      <c r="X8" s="22" t="e">
        <f t="shared" si="11"/>
        <v>#N/A</v>
      </c>
      <c r="Y8" s="2">
        <f t="shared" ref="Y8:Y59" si="30">((I8^2)-J8)-K8</f>
        <v>467.94</v>
      </c>
      <c r="Z8" s="2">
        <f t="shared" ref="Z8:Z59" si="31">(0.21*I8+0.72*J8+0.07*K8)</f>
        <v>15.765000000000001</v>
      </c>
      <c r="AB8" s="24"/>
      <c r="AC8" s="24"/>
      <c r="AD8" s="24"/>
      <c r="AE8" s="24"/>
      <c r="AF8" s="24"/>
      <c r="AG8" s="24"/>
      <c r="AH8" s="24">
        <f t="shared" si="16"/>
        <v>45</v>
      </c>
      <c r="AI8" s="2" t="str">
        <f t="shared" si="17"/>
        <v/>
      </c>
      <c r="AJ8" s="24">
        <f t="shared" ref="AJ8:AJ16" si="32">AJ7+2.5</f>
        <v>35</v>
      </c>
      <c r="AK8" s="42">
        <v>1</v>
      </c>
      <c r="AL8" s="42">
        <v>0</v>
      </c>
      <c r="AM8" s="28">
        <f t="shared" si="13"/>
        <v>8.8969375538122709E-3</v>
      </c>
      <c r="AN8" s="41">
        <f t="shared" si="14"/>
        <v>4.0153013121282125E-4</v>
      </c>
      <c r="AO8" s="25">
        <f t="shared" ref="AO8:AO71" si="33">AO7+0.4</f>
        <v>25.799999999999997</v>
      </c>
      <c r="AP8" s="25">
        <f t="shared" si="18"/>
        <v>1.0281435285341501E-12</v>
      </c>
      <c r="AQ8" s="25">
        <f t="shared" si="19"/>
        <v>2.6148977960347779E-20</v>
      </c>
      <c r="AS8" s="27">
        <f t="shared" si="20"/>
        <v>0.5</v>
      </c>
      <c r="AT8" s="27" t="str">
        <f t="shared" si="21"/>
        <v/>
      </c>
      <c r="AU8">
        <f t="shared" ref="AU8:AU17" si="34">AU7+0.05</f>
        <v>0.39999999999999997</v>
      </c>
      <c r="AV8">
        <v>2</v>
      </c>
      <c r="AW8">
        <v>0</v>
      </c>
      <c r="AX8" s="47">
        <f t="shared" si="22"/>
        <v>5.1711233366157452E-4</v>
      </c>
      <c r="AY8" s="41">
        <f t="shared" si="23"/>
        <v>1.9411913602459598E-41</v>
      </c>
      <c r="AZ8">
        <f t="shared" ref="AZ8:AZ71" si="35">AZ7+0.01</f>
        <v>0.22000000000000003</v>
      </c>
      <c r="BA8" s="25">
        <f t="shared" si="24"/>
        <v>3.0212978849920897E-22</v>
      </c>
      <c r="BB8" s="25">
        <f t="shared" si="25"/>
        <v>3.0256721143924164E-132</v>
      </c>
      <c r="BC8" s="25"/>
      <c r="BM8" s="2" t="e">
        <f>AVERAGE(#REF!)</f>
        <v>#REF!</v>
      </c>
      <c r="BN8" s="2">
        <f>AVERAGE(AM:AM)</f>
        <v>2.7729495894059255</v>
      </c>
    </row>
    <row r="9" spans="1:67">
      <c r="A9" t="s">
        <v>59</v>
      </c>
      <c r="B9" s="7">
        <v>44950</v>
      </c>
      <c r="C9" t="s">
        <v>81</v>
      </c>
      <c r="D9">
        <v>5</v>
      </c>
      <c r="E9" t="s">
        <v>26</v>
      </c>
      <c r="F9" s="9">
        <v>1</v>
      </c>
      <c r="G9">
        <v>9</v>
      </c>
      <c r="H9">
        <v>9</v>
      </c>
      <c r="I9" s="20">
        <v>25.2</v>
      </c>
      <c r="J9" s="20">
        <v>17</v>
      </c>
      <c r="K9" s="20">
        <v>12.3</v>
      </c>
      <c r="L9" s="21">
        <f t="shared" si="26"/>
        <v>21.1</v>
      </c>
      <c r="M9" s="15">
        <f t="shared" si="15"/>
        <v>1</v>
      </c>
      <c r="N9" s="15">
        <f t="shared" si="15"/>
        <v>0.67460317460317465</v>
      </c>
      <c r="O9" s="15">
        <f t="shared" si="15"/>
        <v>0.48809523809523814</v>
      </c>
      <c r="P9" s="15">
        <f t="shared" si="15"/>
        <v>0.83730158730158744</v>
      </c>
      <c r="Q9" s="16">
        <f t="shared" si="27"/>
        <v>0.3492063492063493</v>
      </c>
      <c r="R9" s="16">
        <f t="shared" si="28"/>
        <v>0.32539682539682535</v>
      </c>
      <c r="S9" s="28">
        <f t="shared" si="8"/>
        <v>0.32539682539682535</v>
      </c>
      <c r="T9" s="28" t="e">
        <f t="shared" si="9"/>
        <v>#N/A</v>
      </c>
      <c r="U9" s="22">
        <f t="shared" si="4"/>
        <v>47.021364940356023</v>
      </c>
      <c r="V9" s="22">
        <f t="shared" si="29"/>
        <v>0.47731349059539352</v>
      </c>
      <c r="W9" s="22">
        <f t="shared" si="10"/>
        <v>0.47731349059539352</v>
      </c>
      <c r="X9" s="22" t="e">
        <f t="shared" si="11"/>
        <v>#N/A</v>
      </c>
      <c r="Y9" s="2">
        <f t="shared" si="30"/>
        <v>605.74</v>
      </c>
      <c r="Z9" s="2">
        <f t="shared" si="31"/>
        <v>18.393000000000001</v>
      </c>
      <c r="AB9" s="24"/>
      <c r="AC9" s="24"/>
      <c r="AD9" s="24"/>
      <c r="AE9" s="24"/>
      <c r="AF9" s="24"/>
      <c r="AG9" s="24"/>
      <c r="AH9" s="24">
        <f t="shared" si="16"/>
        <v>47.5</v>
      </c>
      <c r="AI9" s="2" t="str">
        <f t="shared" si="17"/>
        <v/>
      </c>
      <c r="AJ9" s="24">
        <f t="shared" si="32"/>
        <v>37.5</v>
      </c>
      <c r="AK9" s="42">
        <v>2</v>
      </c>
      <c r="AL9" s="42">
        <v>0</v>
      </c>
      <c r="AM9" s="28">
        <f t="shared" si="13"/>
        <v>0.30220525501174683</v>
      </c>
      <c r="AN9" s="41">
        <f t="shared" si="14"/>
        <v>8.3537637164351683E-2</v>
      </c>
      <c r="AO9" s="25">
        <f t="shared" si="33"/>
        <v>26.199999999999996</v>
      </c>
      <c r="AP9" s="25">
        <f t="shared" si="18"/>
        <v>3.8442924348322284E-12</v>
      </c>
      <c r="AQ9" s="25">
        <f t="shared" si="19"/>
        <v>2.352609034700789E-19</v>
      </c>
      <c r="AS9" s="27">
        <f t="shared" si="20"/>
        <v>0.5</v>
      </c>
      <c r="AT9" s="27" t="str">
        <f t="shared" si="21"/>
        <v/>
      </c>
      <c r="AU9">
        <f t="shared" si="34"/>
        <v>0.44999999999999996</v>
      </c>
      <c r="AV9">
        <v>4</v>
      </c>
      <c r="AW9">
        <v>0</v>
      </c>
      <c r="AX9" s="47">
        <f t="shared" si="22"/>
        <v>0.18273936293504991</v>
      </c>
      <c r="AY9" s="41">
        <f t="shared" si="23"/>
        <v>3.0031939945050265E-25</v>
      </c>
      <c r="AZ9">
        <f t="shared" si="35"/>
        <v>0.23000000000000004</v>
      </c>
      <c r="BA9" s="25">
        <f t="shared" si="24"/>
        <v>7.3312234489892265E-21</v>
      </c>
      <c r="BB9" s="25">
        <f t="shared" si="25"/>
        <v>7.2650098690141023E-126</v>
      </c>
      <c r="BC9" s="25"/>
    </row>
    <row r="10" spans="1:67">
      <c r="A10" t="s">
        <v>60</v>
      </c>
      <c r="B10" s="7">
        <v>44950</v>
      </c>
      <c r="C10" t="s">
        <v>81</v>
      </c>
      <c r="D10">
        <v>6</v>
      </c>
      <c r="E10" t="s">
        <v>26</v>
      </c>
      <c r="F10" s="9">
        <v>0</v>
      </c>
      <c r="I10" s="20">
        <v>31.4</v>
      </c>
      <c r="J10" s="20">
        <v>18.8</v>
      </c>
      <c r="K10" s="20">
        <v>13.3</v>
      </c>
      <c r="L10" s="21">
        <f t="shared" si="26"/>
        <v>25.1</v>
      </c>
      <c r="M10" s="15">
        <f t="shared" si="15"/>
        <v>1</v>
      </c>
      <c r="N10" s="15">
        <f t="shared" si="15"/>
        <v>0.59872611464968162</v>
      </c>
      <c r="O10" s="15">
        <f t="shared" si="15"/>
        <v>0.42356687898089174</v>
      </c>
      <c r="P10" s="15">
        <f t="shared" si="15"/>
        <v>0.79936305732484081</v>
      </c>
      <c r="Q10" s="16">
        <f t="shared" si="27"/>
        <v>0.37579617834394907</v>
      </c>
      <c r="R10" s="16">
        <f t="shared" si="28"/>
        <v>0.40127388535031838</v>
      </c>
      <c r="S10" s="28">
        <f t="shared" si="8"/>
        <v>0.40127388535031838</v>
      </c>
      <c r="T10" s="28" t="e">
        <f t="shared" si="9"/>
        <v>#N/A</v>
      </c>
      <c r="U10" s="22">
        <f t="shared" si="4"/>
        <v>43.122122552714643</v>
      </c>
      <c r="V10" s="22">
        <f t="shared" si="29"/>
        <v>0.54976676756790022</v>
      </c>
      <c r="W10" s="22">
        <f t="shared" si="10"/>
        <v>0.54976676756790022</v>
      </c>
      <c r="X10" s="22" t="e">
        <f t="shared" si="11"/>
        <v>#N/A</v>
      </c>
      <c r="Y10" s="2">
        <f t="shared" si="30"/>
        <v>953.86</v>
      </c>
      <c r="Z10" s="2">
        <f t="shared" si="31"/>
        <v>21.061</v>
      </c>
      <c r="AB10" s="24"/>
      <c r="AC10" s="24"/>
      <c r="AD10" s="24"/>
      <c r="AE10" s="24"/>
      <c r="AF10" s="24"/>
      <c r="AG10" s="24"/>
      <c r="AH10" s="24">
        <f t="shared" si="16"/>
        <v>42.5</v>
      </c>
      <c r="AI10" s="2" t="str">
        <f t="shared" si="17"/>
        <v/>
      </c>
      <c r="AJ10" s="24">
        <f t="shared" si="32"/>
        <v>40</v>
      </c>
      <c r="AK10" s="42">
        <v>3</v>
      </c>
      <c r="AL10" s="42">
        <v>2</v>
      </c>
      <c r="AM10" s="28">
        <f t="shared" si="13"/>
        <v>3.2484731466250953</v>
      </c>
      <c r="AN10" s="41">
        <f t="shared" si="14"/>
        <v>2.2440830515034356</v>
      </c>
      <c r="AO10" s="25">
        <f t="shared" si="33"/>
        <v>26.599999999999994</v>
      </c>
      <c r="AP10" s="25">
        <f t="shared" si="18"/>
        <v>1.3956842324700127E-11</v>
      </c>
      <c r="AQ10" s="25">
        <f t="shared" si="19"/>
        <v>2.0085664995000086E-18</v>
      </c>
      <c r="AS10" s="27">
        <f t="shared" si="20"/>
        <v>0.55000000000000004</v>
      </c>
      <c r="AT10" s="27" t="str">
        <f t="shared" si="21"/>
        <v/>
      </c>
      <c r="AU10">
        <f t="shared" si="34"/>
        <v>0.49999999999999994</v>
      </c>
      <c r="AV10">
        <v>6</v>
      </c>
      <c r="AW10">
        <v>2</v>
      </c>
      <c r="AX10" s="47">
        <f t="shared" si="22"/>
        <v>5.1989121868261456</v>
      </c>
      <c r="AY10" s="41">
        <f t="shared" si="23"/>
        <v>5.4822552333104792E-13</v>
      </c>
      <c r="AZ10">
        <f t="shared" si="35"/>
        <v>0.24000000000000005</v>
      </c>
      <c r="BA10" s="25">
        <f t="shared" si="24"/>
        <v>1.6083949215071925E-19</v>
      </c>
      <c r="BB10" s="25">
        <f t="shared" si="25"/>
        <v>1.2148565165027838E-119</v>
      </c>
      <c r="BC10" s="25"/>
    </row>
    <row r="11" spans="1:67">
      <c r="A11" t="s">
        <v>61</v>
      </c>
      <c r="B11" s="7">
        <v>44950</v>
      </c>
      <c r="C11" t="s">
        <v>81</v>
      </c>
      <c r="D11">
        <v>6</v>
      </c>
      <c r="E11" t="s">
        <v>26</v>
      </c>
      <c r="F11" s="9">
        <v>1</v>
      </c>
      <c r="I11" s="20">
        <v>24</v>
      </c>
      <c r="J11" s="20">
        <v>12.9</v>
      </c>
      <c r="K11" s="20">
        <v>8.9</v>
      </c>
      <c r="L11" s="21">
        <f t="shared" si="26"/>
        <v>18.45</v>
      </c>
      <c r="M11" s="15">
        <f t="shared" si="15"/>
        <v>1</v>
      </c>
      <c r="N11" s="15">
        <f t="shared" si="15"/>
        <v>0.53749999999999998</v>
      </c>
      <c r="O11" s="15">
        <f t="shared" si="15"/>
        <v>0.37083333333333335</v>
      </c>
      <c r="P11" s="15">
        <f t="shared" si="15"/>
        <v>0.76874999999999993</v>
      </c>
      <c r="Q11" s="16">
        <f t="shared" si="27"/>
        <v>0.39791666666666659</v>
      </c>
      <c r="R11" s="16">
        <f t="shared" si="28"/>
        <v>0.46250000000000002</v>
      </c>
      <c r="S11" s="28">
        <f t="shared" si="8"/>
        <v>0.46250000000000002</v>
      </c>
      <c r="T11" s="28" t="e">
        <f t="shared" si="9"/>
        <v>#N/A</v>
      </c>
      <c r="U11" s="22">
        <f t="shared" si="4"/>
        <v>40.707397819110682</v>
      </c>
      <c r="V11" s="22">
        <f t="shared" si="29"/>
        <v>0.61011795876790176</v>
      </c>
      <c r="W11" s="22">
        <f t="shared" si="10"/>
        <v>0.61011795876790176</v>
      </c>
      <c r="X11" s="22" t="e">
        <f t="shared" si="11"/>
        <v>#N/A</v>
      </c>
      <c r="Y11" s="2">
        <f t="shared" si="30"/>
        <v>554.20000000000005</v>
      </c>
      <c r="Z11" s="2">
        <f t="shared" si="31"/>
        <v>14.950999999999999</v>
      </c>
      <c r="AB11" s="24"/>
      <c r="AC11" s="24"/>
      <c r="AD11" s="24"/>
      <c r="AE11" s="24"/>
      <c r="AF11" s="24"/>
      <c r="AG11" s="24"/>
      <c r="AH11" s="24">
        <f t="shared" si="16"/>
        <v>40</v>
      </c>
      <c r="AI11" s="2" t="str">
        <f t="shared" si="17"/>
        <v/>
      </c>
      <c r="AJ11" s="24">
        <f t="shared" si="32"/>
        <v>42.5</v>
      </c>
      <c r="AK11" s="42">
        <v>11</v>
      </c>
      <c r="AL11" s="42">
        <v>8</v>
      </c>
      <c r="AM11" s="28">
        <f t="shared" si="13"/>
        <v>11.050256258722222</v>
      </c>
      <c r="AN11" s="41">
        <f t="shared" si="14"/>
        <v>7.7837406357530403</v>
      </c>
      <c r="AO11" s="25">
        <f t="shared" si="33"/>
        <v>26.999999999999993</v>
      </c>
      <c r="AP11" s="25">
        <f t="shared" si="18"/>
        <v>4.9200102980329345E-11</v>
      </c>
      <c r="AQ11" s="25">
        <f t="shared" si="19"/>
        <v>1.6272867273509525E-17</v>
      </c>
      <c r="AS11" s="27">
        <f t="shared" si="20"/>
        <v>0.60000000000000009</v>
      </c>
      <c r="AT11" s="27" t="str">
        <f t="shared" si="21"/>
        <v/>
      </c>
      <c r="AU11">
        <f t="shared" si="34"/>
        <v>0.54999999999999993</v>
      </c>
      <c r="AV11">
        <v>10</v>
      </c>
      <c r="AW11">
        <v>5</v>
      </c>
      <c r="AX11" s="47">
        <f t="shared" si="22"/>
        <v>11.907648945240485</v>
      </c>
      <c r="AY11" s="41">
        <f t="shared" si="23"/>
        <v>1.1808532838373715E-4</v>
      </c>
      <c r="AZ11">
        <f t="shared" si="35"/>
        <v>0.25000000000000006</v>
      </c>
      <c r="BA11" s="25">
        <f t="shared" si="24"/>
        <v>3.190378840695822E-18</v>
      </c>
      <c r="BB11" s="25">
        <f t="shared" si="25"/>
        <v>1.414777680110822E-113</v>
      </c>
      <c r="BC11" s="25"/>
    </row>
    <row r="12" spans="1:67">
      <c r="A12" t="s">
        <v>62</v>
      </c>
      <c r="B12" s="7">
        <v>44950</v>
      </c>
      <c r="C12" t="s">
        <v>81</v>
      </c>
      <c r="D12">
        <v>6</v>
      </c>
      <c r="E12" t="s">
        <v>17</v>
      </c>
      <c r="I12" s="20">
        <v>26.5</v>
      </c>
      <c r="J12" s="20">
        <v>13.7</v>
      </c>
      <c r="K12" s="20">
        <v>8.5</v>
      </c>
      <c r="L12" s="21">
        <f t="shared" si="26"/>
        <v>20.100000000000001</v>
      </c>
      <c r="M12" s="15">
        <f t="shared" si="15"/>
        <v>1</v>
      </c>
      <c r="N12" s="15">
        <f t="shared" si="15"/>
        <v>0.51698113207547169</v>
      </c>
      <c r="O12" s="15">
        <f t="shared" si="15"/>
        <v>0.32075471698113206</v>
      </c>
      <c r="P12" s="15">
        <f t="shared" si="15"/>
        <v>0.7584905660377359</v>
      </c>
      <c r="Q12" s="16">
        <f t="shared" si="27"/>
        <v>0.43773584905660384</v>
      </c>
      <c r="R12" s="16">
        <f t="shared" si="28"/>
        <v>0.48301886792452831</v>
      </c>
      <c r="S12" s="28" t="e">
        <f t="shared" si="8"/>
        <v>#N/A</v>
      </c>
      <c r="T12" s="28">
        <f t="shared" si="9"/>
        <v>0.48301886792452831</v>
      </c>
      <c r="U12" s="22">
        <f t="shared" si="4"/>
        <v>42.184443315788769</v>
      </c>
      <c r="V12" s="22">
        <f t="shared" si="29"/>
        <v>0.65185880397552254</v>
      </c>
      <c r="W12" s="22" t="e">
        <f t="shared" si="10"/>
        <v>#N/A</v>
      </c>
      <c r="X12" s="22">
        <f t="shared" si="11"/>
        <v>0.65185880397552254</v>
      </c>
      <c r="Y12" s="2">
        <f t="shared" si="30"/>
        <v>680.05</v>
      </c>
      <c r="Z12" s="2">
        <f t="shared" si="31"/>
        <v>16.023999999999997</v>
      </c>
      <c r="AB12" s="24"/>
      <c r="AC12" s="24"/>
      <c r="AD12" s="24"/>
      <c r="AE12" s="24"/>
      <c r="AF12" s="24"/>
      <c r="AG12" s="24"/>
      <c r="AH12" s="24" t="str">
        <f t="shared" si="16"/>
        <v/>
      </c>
      <c r="AI12" s="2">
        <f t="shared" si="17"/>
        <v>42.5</v>
      </c>
      <c r="AJ12" s="24">
        <f t="shared" si="32"/>
        <v>45</v>
      </c>
      <c r="AK12" s="42">
        <v>12</v>
      </c>
      <c r="AL12" s="42">
        <v>3</v>
      </c>
      <c r="AM12" s="28">
        <f t="shared" si="13"/>
        <v>11.895459357935518</v>
      </c>
      <c r="AN12" s="41">
        <f t="shared" si="14"/>
        <v>3.4860248511403351</v>
      </c>
      <c r="AO12" s="25">
        <f t="shared" si="33"/>
        <v>27.399999999999991</v>
      </c>
      <c r="AP12" s="25">
        <f t="shared" si="18"/>
        <v>1.6840420670366207E-10</v>
      </c>
      <c r="AQ12" s="25">
        <f t="shared" si="19"/>
        <v>1.2510750480817926E-16</v>
      </c>
      <c r="AS12" s="27" t="str">
        <f t="shared" si="20"/>
        <v/>
      </c>
      <c r="AT12" s="27">
        <f t="shared" si="21"/>
        <v>0.65</v>
      </c>
      <c r="AU12">
        <f t="shared" si="34"/>
        <v>0.6</v>
      </c>
      <c r="AV12">
        <v>6</v>
      </c>
      <c r="AW12">
        <v>3</v>
      </c>
      <c r="AX12" s="47">
        <f t="shared" si="22"/>
        <v>2.1956986165658292</v>
      </c>
      <c r="AY12" s="41">
        <f t="shared" si="23"/>
        <v>3.0011897836632158</v>
      </c>
      <c r="AZ12">
        <f t="shared" si="35"/>
        <v>0.26000000000000006</v>
      </c>
      <c r="BA12" s="25">
        <f t="shared" si="24"/>
        <v>5.7217008288081762E-17</v>
      </c>
      <c r="BB12" s="25">
        <f t="shared" si="25"/>
        <v>1.1474290602493207E-107</v>
      </c>
      <c r="BC12" s="25"/>
    </row>
    <row r="13" spans="1:67">
      <c r="A13" t="s">
        <v>63</v>
      </c>
      <c r="B13" s="7">
        <v>44950</v>
      </c>
      <c r="C13" t="s">
        <v>81</v>
      </c>
      <c r="D13">
        <v>6</v>
      </c>
      <c r="E13" t="s">
        <v>26</v>
      </c>
      <c r="F13" s="9">
        <v>0</v>
      </c>
      <c r="I13" s="20">
        <v>27.6</v>
      </c>
      <c r="J13" s="20">
        <v>14.8</v>
      </c>
      <c r="K13" s="20">
        <v>10.3</v>
      </c>
      <c r="L13" s="21">
        <f t="shared" si="26"/>
        <v>21.200000000000003</v>
      </c>
      <c r="M13" s="15">
        <f t="shared" si="15"/>
        <v>1</v>
      </c>
      <c r="N13" s="15">
        <f t="shared" si="15"/>
        <v>0.53623188405797106</v>
      </c>
      <c r="O13" s="15">
        <f t="shared" si="15"/>
        <v>0.37318840579710144</v>
      </c>
      <c r="P13" s="15">
        <f t="shared" si="15"/>
        <v>0.76811594202898559</v>
      </c>
      <c r="Q13" s="16">
        <f t="shared" si="27"/>
        <v>0.39492753623188415</v>
      </c>
      <c r="R13" s="16">
        <f t="shared" si="28"/>
        <v>0.46376811594202894</v>
      </c>
      <c r="S13" s="28">
        <f t="shared" si="8"/>
        <v>0.46376811594202894</v>
      </c>
      <c r="T13" s="28" t="e">
        <f t="shared" si="9"/>
        <v>#N/A</v>
      </c>
      <c r="U13" s="22">
        <f t="shared" si="4"/>
        <v>40.416470190882983</v>
      </c>
      <c r="V13" s="22">
        <f t="shared" si="29"/>
        <v>0.60913760698105424</v>
      </c>
      <c r="W13" s="22">
        <f t="shared" si="10"/>
        <v>0.60913760698105424</v>
      </c>
      <c r="X13" s="22" t="e">
        <f t="shared" si="11"/>
        <v>#N/A</v>
      </c>
      <c r="Y13" s="2">
        <f t="shared" si="30"/>
        <v>736.6600000000002</v>
      </c>
      <c r="Z13" s="2">
        <f t="shared" si="31"/>
        <v>17.173000000000002</v>
      </c>
      <c r="AB13" s="24"/>
      <c r="AC13" s="24"/>
      <c r="AD13" s="24"/>
      <c r="AE13" s="24"/>
      <c r="AF13" s="24"/>
      <c r="AG13" s="24"/>
      <c r="AH13" s="24">
        <f t="shared" si="16"/>
        <v>40</v>
      </c>
      <c r="AI13" s="2" t="str">
        <f t="shared" si="17"/>
        <v/>
      </c>
      <c r="AJ13" s="24">
        <f t="shared" si="32"/>
        <v>47.5</v>
      </c>
      <c r="AK13" s="42">
        <v>4</v>
      </c>
      <c r="AL13" s="42">
        <v>3</v>
      </c>
      <c r="AM13" s="28">
        <f t="shared" si="13"/>
        <v>4.0523400790371404</v>
      </c>
      <c r="AN13" s="41">
        <f t="shared" si="14"/>
        <v>0.20158828647639288</v>
      </c>
      <c r="AO13" s="25">
        <f t="shared" si="33"/>
        <v>27.79999999999999</v>
      </c>
      <c r="AP13" s="25">
        <f t="shared" si="18"/>
        <v>5.5969051167330992E-10</v>
      </c>
      <c r="AQ13" s="25">
        <f t="shared" si="19"/>
        <v>9.1273363635869722E-16</v>
      </c>
      <c r="AS13" s="27">
        <f t="shared" si="20"/>
        <v>0.60000000000000009</v>
      </c>
      <c r="AT13" s="27" t="str">
        <f t="shared" si="21"/>
        <v/>
      </c>
      <c r="AU13">
        <f t="shared" si="34"/>
        <v>0.65</v>
      </c>
      <c r="AV13">
        <v>6</v>
      </c>
      <c r="AW13">
        <v>9</v>
      </c>
      <c r="AX13" s="47">
        <f t="shared" si="22"/>
        <v>3.2595121114678459E-2</v>
      </c>
      <c r="AY13" s="41">
        <f t="shared" si="23"/>
        <v>9.0001926160477854</v>
      </c>
      <c r="AZ13">
        <f t="shared" si="35"/>
        <v>0.27000000000000007</v>
      </c>
      <c r="BA13" s="25">
        <f t="shared" si="24"/>
        <v>9.2777221571140333E-16</v>
      </c>
      <c r="BB13" s="25">
        <f t="shared" si="25"/>
        <v>6.4809388391791196E-102</v>
      </c>
      <c r="BC13" s="25"/>
      <c r="BH13" s="2"/>
    </row>
    <row r="14" spans="1:67">
      <c r="A14" t="s">
        <v>64</v>
      </c>
      <c r="B14" s="7">
        <v>44950</v>
      </c>
      <c r="C14" t="s">
        <v>81</v>
      </c>
      <c r="D14">
        <v>5</v>
      </c>
      <c r="E14" t="s">
        <v>17</v>
      </c>
      <c r="G14">
        <v>8</v>
      </c>
      <c r="H14">
        <v>8</v>
      </c>
      <c r="I14" s="20">
        <v>26</v>
      </c>
      <c r="J14" s="20">
        <v>16.399999999999999</v>
      </c>
      <c r="K14" s="20">
        <v>12.2</v>
      </c>
      <c r="L14" s="21">
        <f t="shared" si="26"/>
        <v>21.2</v>
      </c>
      <c r="M14" s="15">
        <f t="shared" si="15"/>
        <v>1</v>
      </c>
      <c r="N14" s="15">
        <f t="shared" si="15"/>
        <v>0.63076923076923075</v>
      </c>
      <c r="O14" s="15">
        <f t="shared" si="15"/>
        <v>0.46923076923076923</v>
      </c>
      <c r="P14" s="15">
        <f t="shared" si="15"/>
        <v>0.81538461538461537</v>
      </c>
      <c r="Q14" s="16">
        <f t="shared" si="27"/>
        <v>0.34615384615384615</v>
      </c>
      <c r="R14" s="16">
        <f t="shared" si="28"/>
        <v>0.36923076923076925</v>
      </c>
      <c r="S14" s="28" t="e">
        <f t="shared" si="8"/>
        <v>#N/A</v>
      </c>
      <c r="T14" s="28">
        <f t="shared" si="9"/>
        <v>0.36923076923076925</v>
      </c>
      <c r="U14" s="22">
        <f t="shared" si="4"/>
        <v>43.152389734005411</v>
      </c>
      <c r="V14" s="22">
        <f t="shared" si="29"/>
        <v>0.50611643537218409</v>
      </c>
      <c r="W14" s="22" t="e">
        <f t="shared" si="10"/>
        <v>#N/A</v>
      </c>
      <c r="X14" s="22">
        <f t="shared" si="11"/>
        <v>0.50611643537218409</v>
      </c>
      <c r="Y14" s="2">
        <f t="shared" si="30"/>
        <v>647.4</v>
      </c>
      <c r="Z14" s="2">
        <f t="shared" si="31"/>
        <v>18.121999999999996</v>
      </c>
      <c r="AB14" s="24"/>
      <c r="AC14" s="24"/>
      <c r="AD14" s="24"/>
      <c r="AE14" s="24"/>
      <c r="AF14" s="24"/>
      <c r="AG14" s="24"/>
      <c r="AH14" s="24" t="str">
        <f t="shared" si="16"/>
        <v/>
      </c>
      <c r="AI14" s="2">
        <f t="shared" si="17"/>
        <v>42.5</v>
      </c>
      <c r="AJ14" s="24">
        <f t="shared" si="32"/>
        <v>50</v>
      </c>
      <c r="AK14" s="42">
        <v>0</v>
      </c>
      <c r="AL14" s="42">
        <v>1</v>
      </c>
      <c r="AM14" s="28">
        <f t="shared" si="13"/>
        <v>0.4368640944033283</v>
      </c>
      <c r="AN14" s="41">
        <f t="shared" si="14"/>
        <v>1.5051951139049002E-3</v>
      </c>
      <c r="AO14" s="25">
        <f t="shared" si="33"/>
        <v>28.199999999999989</v>
      </c>
      <c r="AP14" s="25">
        <f t="shared" si="18"/>
        <v>1.8061384470250702E-9</v>
      </c>
      <c r="AQ14" s="25">
        <f t="shared" si="19"/>
        <v>6.3189680814203028E-15</v>
      </c>
      <c r="AS14" s="27" t="str">
        <f t="shared" si="20"/>
        <v/>
      </c>
      <c r="AT14" s="27">
        <f t="shared" si="21"/>
        <v>0.5</v>
      </c>
      <c r="AU14">
        <f t="shared" si="34"/>
        <v>0.70000000000000007</v>
      </c>
      <c r="AV14">
        <v>0</v>
      </c>
      <c r="AW14">
        <v>0</v>
      </c>
      <c r="AX14" s="47">
        <f t="shared" si="22"/>
        <v>3.8955217643390217E-5</v>
      </c>
      <c r="AY14" s="41">
        <f t="shared" si="23"/>
        <v>3.1847179485729868E-3</v>
      </c>
      <c r="AZ14">
        <f t="shared" si="35"/>
        <v>0.28000000000000008</v>
      </c>
      <c r="BA14" s="25">
        <f t="shared" si="24"/>
        <v>1.3601628392380305E-14</v>
      </c>
      <c r="BB14" s="25">
        <f t="shared" si="25"/>
        <v>2.54932047658192E-96</v>
      </c>
      <c r="BC14" s="25"/>
      <c r="BG14" s="2"/>
    </row>
    <row r="15" spans="1:67">
      <c r="A15" t="s">
        <v>65</v>
      </c>
      <c r="B15" s="7">
        <v>44950</v>
      </c>
      <c r="C15" t="s">
        <v>81</v>
      </c>
      <c r="D15">
        <v>6</v>
      </c>
      <c r="E15" t="s">
        <v>26</v>
      </c>
      <c r="F15" s="9">
        <v>0</v>
      </c>
      <c r="I15" s="20">
        <v>37.6</v>
      </c>
      <c r="J15" s="20">
        <v>23.9</v>
      </c>
      <c r="K15" s="20">
        <v>17.2</v>
      </c>
      <c r="L15" s="21">
        <f t="shared" si="26"/>
        <v>30.75</v>
      </c>
      <c r="M15" s="15">
        <f t="shared" si="15"/>
        <v>1</v>
      </c>
      <c r="N15" s="15">
        <f t="shared" si="15"/>
        <v>0.63563829787234039</v>
      </c>
      <c r="O15" s="15">
        <f t="shared" si="15"/>
        <v>0.45744680851063824</v>
      </c>
      <c r="P15" s="15">
        <f t="shared" si="15"/>
        <v>0.81781914893617014</v>
      </c>
      <c r="Q15" s="16">
        <f t="shared" si="27"/>
        <v>0.3603723404255319</v>
      </c>
      <c r="R15" s="16">
        <f t="shared" si="28"/>
        <v>0.36436170212765961</v>
      </c>
      <c r="S15" s="28">
        <f t="shared" si="8"/>
        <v>0.36436170212765961</v>
      </c>
      <c r="T15" s="28" t="e">
        <f t="shared" si="9"/>
        <v>#N/A</v>
      </c>
      <c r="U15" s="22">
        <f t="shared" si="4"/>
        <v>44.684613573428976</v>
      </c>
      <c r="V15" s="22">
        <f t="shared" si="29"/>
        <v>0.51247211994521302</v>
      </c>
      <c r="W15" s="22">
        <f t="shared" si="10"/>
        <v>0.51247211994521302</v>
      </c>
      <c r="X15" s="22" t="e">
        <f t="shared" si="11"/>
        <v>#N/A</v>
      </c>
      <c r="Y15" s="2">
        <f t="shared" si="30"/>
        <v>1372.66</v>
      </c>
      <c r="Z15" s="2">
        <f t="shared" si="31"/>
        <v>26.308</v>
      </c>
      <c r="AB15" s="24"/>
      <c r="AC15" s="24"/>
      <c r="AD15" s="24"/>
      <c r="AE15" s="24"/>
      <c r="AF15" s="24"/>
      <c r="AG15" s="24"/>
      <c r="AH15" s="24">
        <f t="shared" si="16"/>
        <v>45</v>
      </c>
      <c r="AI15" s="2" t="str">
        <f t="shared" si="17"/>
        <v/>
      </c>
      <c r="AJ15" s="24">
        <f t="shared" si="32"/>
        <v>52.5</v>
      </c>
      <c r="AK15" s="42">
        <v>0</v>
      </c>
      <c r="AL15" s="42">
        <v>1</v>
      </c>
      <c r="AM15" s="28">
        <f t="shared" si="13"/>
        <v>1.4903992319045212E-2</v>
      </c>
      <c r="AN15" s="41">
        <f t="shared" si="14"/>
        <v>1.4511523130801544E-6</v>
      </c>
      <c r="AO15" s="25">
        <f t="shared" si="33"/>
        <v>28.599999999999987</v>
      </c>
      <c r="AP15" s="25">
        <f t="shared" si="18"/>
        <v>5.6592934643814594E-9</v>
      </c>
      <c r="AQ15" s="25">
        <f t="shared" si="19"/>
        <v>4.1513531579090219E-14</v>
      </c>
      <c r="AS15" s="27">
        <f t="shared" si="20"/>
        <v>0.5</v>
      </c>
      <c r="AT15" s="27" t="str">
        <f t="shared" si="21"/>
        <v/>
      </c>
      <c r="AU15">
        <f t="shared" si="34"/>
        <v>0.75000000000000011</v>
      </c>
      <c r="AV15">
        <v>0</v>
      </c>
      <c r="AW15">
        <v>0</v>
      </c>
      <c r="AX15" s="47">
        <f t="shared" si="22"/>
        <v>3.7481057548770375E-9</v>
      </c>
      <c r="AY15" s="41">
        <f t="shared" si="23"/>
        <v>1.3296917489932899E-10</v>
      </c>
      <c r="AZ15">
        <f t="shared" si="35"/>
        <v>0.29000000000000009</v>
      </c>
      <c r="BA15" s="25">
        <f t="shared" si="24"/>
        <v>1.8029088682487829E-13</v>
      </c>
      <c r="BB15" s="25">
        <f t="shared" si="25"/>
        <v>6.9836968426014041E-91</v>
      </c>
      <c r="BC15" s="25"/>
      <c r="BG15" s="2"/>
      <c r="BH15" s="2"/>
    </row>
    <row r="16" spans="1:67">
      <c r="A16" t="s">
        <v>66</v>
      </c>
      <c r="B16" s="7">
        <v>44950</v>
      </c>
      <c r="C16" t="s">
        <v>81</v>
      </c>
      <c r="D16">
        <v>6</v>
      </c>
      <c r="E16" t="s">
        <v>26</v>
      </c>
      <c r="F16" s="9">
        <v>0</v>
      </c>
      <c r="I16" s="20">
        <v>22.3</v>
      </c>
      <c r="J16" s="20">
        <v>15.2</v>
      </c>
      <c r="K16" s="20">
        <v>11.5</v>
      </c>
      <c r="L16" s="21">
        <f t="shared" si="26"/>
        <v>18.75</v>
      </c>
      <c r="M16" s="15">
        <f t="shared" si="15"/>
        <v>1</v>
      </c>
      <c r="N16" s="15">
        <f t="shared" si="15"/>
        <v>0.68161434977578472</v>
      </c>
      <c r="O16" s="15">
        <f t="shared" si="15"/>
        <v>0.51569506726457393</v>
      </c>
      <c r="P16" s="15">
        <f t="shared" si="15"/>
        <v>0.84080717488789236</v>
      </c>
      <c r="Q16" s="16">
        <f t="shared" si="27"/>
        <v>0.32511210762331844</v>
      </c>
      <c r="R16" s="16">
        <f t="shared" si="28"/>
        <v>0.31838565022421528</v>
      </c>
      <c r="S16" s="28">
        <f t="shared" si="8"/>
        <v>0.31838565022421528</v>
      </c>
      <c r="T16" s="28" t="e">
        <f t="shared" si="9"/>
        <v>#N/A</v>
      </c>
      <c r="U16" s="22">
        <f t="shared" si="4"/>
        <v>45.59888877547116</v>
      </c>
      <c r="V16" s="22">
        <f t="shared" si="29"/>
        <v>0.45504648640767742</v>
      </c>
      <c r="W16" s="22">
        <f t="shared" si="10"/>
        <v>0.45504648640767742</v>
      </c>
      <c r="X16" s="22" t="e">
        <f t="shared" si="11"/>
        <v>#N/A</v>
      </c>
      <c r="Y16" s="2">
        <f t="shared" si="30"/>
        <v>470.59000000000003</v>
      </c>
      <c r="Z16" s="2">
        <f t="shared" si="31"/>
        <v>16.431999999999999</v>
      </c>
      <c r="AB16" s="24"/>
      <c r="AC16" s="24"/>
      <c r="AD16" s="24"/>
      <c r="AE16" s="24"/>
      <c r="AF16" s="24"/>
      <c r="AG16" s="24"/>
      <c r="AH16" s="24">
        <f t="shared" si="16"/>
        <v>45</v>
      </c>
      <c r="AI16" s="2" t="str">
        <f t="shared" si="17"/>
        <v/>
      </c>
      <c r="AJ16" s="24">
        <f t="shared" si="32"/>
        <v>55</v>
      </c>
      <c r="AK16" s="42">
        <v>0</v>
      </c>
      <c r="AL16" s="42">
        <v>0</v>
      </c>
      <c r="AM16" s="28">
        <f t="shared" si="13"/>
        <v>1.6090690589839725E-4</v>
      </c>
      <c r="AN16" s="41">
        <f t="shared" si="14"/>
        <v>1.8064497652980863E-10</v>
      </c>
      <c r="AO16" s="25">
        <f t="shared" si="33"/>
        <v>28.999999999999986</v>
      </c>
      <c r="AP16" s="25">
        <f t="shared" si="18"/>
        <v>1.7217951373383029E-8</v>
      </c>
      <c r="AQ16" s="25">
        <f t="shared" si="19"/>
        <v>2.5880616207986893E-13</v>
      </c>
      <c r="AS16" s="27">
        <f t="shared" si="20"/>
        <v>0.45</v>
      </c>
      <c r="AT16" s="27" t="str">
        <f t="shared" si="21"/>
        <v/>
      </c>
      <c r="AU16">
        <f t="shared" si="34"/>
        <v>0.80000000000000016</v>
      </c>
      <c r="AV16">
        <v>0</v>
      </c>
      <c r="AW16">
        <v>0</v>
      </c>
      <c r="AX16" s="47">
        <f t="shared" si="22"/>
        <v>2.9032952431473223E-14</v>
      </c>
      <c r="AY16" s="41">
        <f t="shared" si="23"/>
        <v>6.5507616688130321E-22</v>
      </c>
      <c r="AZ16">
        <f t="shared" si="35"/>
        <v>0.3000000000000001</v>
      </c>
      <c r="BA16" s="25">
        <f t="shared" si="24"/>
        <v>2.1606776078242298E-12</v>
      </c>
      <c r="BB16" s="25">
        <f t="shared" si="25"/>
        <v>1.3323574544949822E-85</v>
      </c>
      <c r="BC16" s="25"/>
    </row>
    <row r="17" spans="1:62">
      <c r="A17" t="s">
        <v>67</v>
      </c>
      <c r="B17" s="7">
        <v>44950</v>
      </c>
      <c r="C17" t="s">
        <v>81</v>
      </c>
      <c r="D17">
        <v>6</v>
      </c>
      <c r="E17" t="s">
        <v>26</v>
      </c>
      <c r="F17" s="9">
        <v>0</v>
      </c>
      <c r="I17" s="20">
        <v>29.2</v>
      </c>
      <c r="J17" s="20">
        <v>17.3</v>
      </c>
      <c r="K17" s="20">
        <v>11.9</v>
      </c>
      <c r="L17" s="21">
        <f t="shared" si="26"/>
        <v>23.25</v>
      </c>
      <c r="M17" s="15">
        <f t="shared" si="15"/>
        <v>1</v>
      </c>
      <c r="N17" s="15">
        <f t="shared" si="15"/>
        <v>0.59246575342465757</v>
      </c>
      <c r="O17" s="15">
        <f t="shared" si="15"/>
        <v>0.40753424657534248</v>
      </c>
      <c r="P17" s="15">
        <f t="shared" si="15"/>
        <v>0.79623287671232879</v>
      </c>
      <c r="Q17" s="16">
        <f t="shared" si="27"/>
        <v>0.3886986301369863</v>
      </c>
      <c r="R17" s="16">
        <f t="shared" si="28"/>
        <v>0.40753424657534243</v>
      </c>
      <c r="S17" s="28">
        <f t="shared" si="8"/>
        <v>0.40753424657534243</v>
      </c>
      <c r="T17" s="28" t="e">
        <f t="shared" si="9"/>
        <v>#N/A</v>
      </c>
      <c r="U17" s="22">
        <f t="shared" si="4"/>
        <v>43.644868708977853</v>
      </c>
      <c r="V17" s="22">
        <f t="shared" si="29"/>
        <v>0.5631791785942567</v>
      </c>
      <c r="W17" s="22">
        <f t="shared" si="10"/>
        <v>0.5631791785942567</v>
      </c>
      <c r="X17" s="22" t="e">
        <f t="shared" si="11"/>
        <v>#N/A</v>
      </c>
      <c r="Y17" s="2">
        <f t="shared" si="30"/>
        <v>823.44</v>
      </c>
      <c r="Z17" s="2">
        <f t="shared" si="31"/>
        <v>19.420999999999999</v>
      </c>
      <c r="AB17" s="24"/>
      <c r="AC17" s="24"/>
      <c r="AD17" s="24"/>
      <c r="AE17" s="24"/>
      <c r="AF17" s="24"/>
      <c r="AG17" s="24"/>
      <c r="AH17" s="24">
        <f t="shared" si="16"/>
        <v>42.5</v>
      </c>
      <c r="AI17" s="2" t="str">
        <f t="shared" si="17"/>
        <v/>
      </c>
      <c r="AJ17" s="24"/>
      <c r="AK17" s="42"/>
      <c r="AL17" s="42"/>
      <c r="AM17" s="24"/>
      <c r="AN17" s="24"/>
      <c r="AO17" s="25">
        <f t="shared" si="33"/>
        <v>29.399999999999984</v>
      </c>
      <c r="AP17" s="25">
        <f t="shared" si="18"/>
        <v>5.0863802399836444E-8</v>
      </c>
      <c r="AQ17" s="25">
        <f t="shared" si="19"/>
        <v>1.5310908366712617E-12</v>
      </c>
      <c r="AS17" s="27">
        <f t="shared" si="20"/>
        <v>0.55000000000000004</v>
      </c>
      <c r="AT17" s="27" t="str">
        <f t="shared" si="21"/>
        <v/>
      </c>
      <c r="AU17">
        <f t="shared" si="34"/>
        <v>0.8500000000000002</v>
      </c>
      <c r="AV17">
        <v>0</v>
      </c>
      <c r="AW17">
        <v>0</v>
      </c>
      <c r="AX17" s="47">
        <f t="shared" si="22"/>
        <v>1.8105216981459452E-20</v>
      </c>
      <c r="AY17" s="41">
        <f t="shared" si="23"/>
        <v>3.8079694124413651E-37</v>
      </c>
      <c r="AZ17">
        <f t="shared" si="35"/>
        <v>0.31000000000000011</v>
      </c>
      <c r="BA17" s="25">
        <f t="shared" si="24"/>
        <v>2.341205274861099E-11</v>
      </c>
      <c r="BB17" s="25">
        <f t="shared" si="25"/>
        <v>1.7702335470718071E-80</v>
      </c>
      <c r="BC17" s="25"/>
      <c r="BJ17" s="2"/>
    </row>
    <row r="18" spans="1:62">
      <c r="A18" t="s">
        <v>68</v>
      </c>
      <c r="B18" s="7">
        <v>44950</v>
      </c>
      <c r="C18" t="s">
        <v>81</v>
      </c>
      <c r="D18">
        <v>6</v>
      </c>
      <c r="E18" t="s">
        <v>17</v>
      </c>
      <c r="I18" s="20">
        <v>23.5</v>
      </c>
      <c r="J18" s="20">
        <v>16.3</v>
      </c>
      <c r="K18" s="20">
        <v>10.9</v>
      </c>
      <c r="L18" s="21">
        <f t="shared" si="26"/>
        <v>19.899999999999999</v>
      </c>
      <c r="M18" s="15">
        <f t="shared" si="15"/>
        <v>1</v>
      </c>
      <c r="N18" s="15">
        <f t="shared" si="15"/>
        <v>0.69361702127659575</v>
      </c>
      <c r="O18" s="15">
        <f t="shared" si="15"/>
        <v>0.46382978723404256</v>
      </c>
      <c r="P18" s="15">
        <f t="shared" si="15"/>
        <v>0.84680851063829776</v>
      </c>
      <c r="Q18" s="16">
        <f t="shared" si="27"/>
        <v>0.38297872340425521</v>
      </c>
      <c r="R18" s="16">
        <f t="shared" si="28"/>
        <v>0.30638297872340425</v>
      </c>
      <c r="S18" s="28" t="e">
        <f t="shared" si="8"/>
        <v>#N/A</v>
      </c>
      <c r="T18" s="28">
        <f t="shared" si="9"/>
        <v>0.30638297872340425</v>
      </c>
      <c r="U18" s="22">
        <f t="shared" si="4"/>
        <v>51.340191745909898</v>
      </c>
      <c r="V18" s="22">
        <f t="shared" si="29"/>
        <v>0.49045206925017554</v>
      </c>
      <c r="W18" s="22" t="e">
        <f t="shared" si="10"/>
        <v>#N/A</v>
      </c>
      <c r="X18" s="22">
        <f t="shared" si="11"/>
        <v>0.49045206925017554</v>
      </c>
      <c r="Y18" s="2">
        <f t="shared" si="30"/>
        <v>525.05000000000007</v>
      </c>
      <c r="Z18" s="2">
        <f t="shared" si="31"/>
        <v>17.434000000000001</v>
      </c>
      <c r="AB18" s="24"/>
      <c r="AC18" s="24"/>
      <c r="AD18" s="24"/>
      <c r="AE18" s="24"/>
      <c r="AF18" s="24"/>
      <c r="AG18" s="24"/>
      <c r="AH18" s="24" t="str">
        <f t="shared" si="16"/>
        <v/>
      </c>
      <c r="AI18" s="2">
        <f t="shared" si="17"/>
        <v>52.5</v>
      </c>
      <c r="AJ18" s="24"/>
      <c r="AK18" s="42"/>
      <c r="AL18" s="42"/>
      <c r="AM18" s="24"/>
      <c r="AN18" s="24"/>
      <c r="AO18" s="25">
        <f t="shared" si="33"/>
        <v>29.799999999999983</v>
      </c>
      <c r="AP18" s="25">
        <f t="shared" si="18"/>
        <v>1.4589629199414848E-7</v>
      </c>
      <c r="AQ18" s="25">
        <f t="shared" si="19"/>
        <v>8.5954519134743178E-12</v>
      </c>
      <c r="AS18" s="27" t="str">
        <f t="shared" si="20"/>
        <v/>
      </c>
      <c r="AT18" s="27">
        <f t="shared" si="21"/>
        <v>0.5</v>
      </c>
      <c r="AX18" s="46"/>
      <c r="AY18" s="24"/>
      <c r="AZ18">
        <f t="shared" si="35"/>
        <v>0.32000000000000012</v>
      </c>
      <c r="BA18" s="25">
        <f t="shared" si="24"/>
        <v>2.2936246284455625E-10</v>
      </c>
      <c r="BB18" s="25">
        <f t="shared" si="25"/>
        <v>1.638003442837325E-75</v>
      </c>
      <c r="BC18" s="25"/>
    </row>
    <row r="19" spans="1:62">
      <c r="A19" t="s">
        <v>69</v>
      </c>
      <c r="B19" s="7">
        <v>44950</v>
      </c>
      <c r="C19" t="s">
        <v>81</v>
      </c>
      <c r="D19">
        <v>5</v>
      </c>
      <c r="E19" t="s">
        <v>26</v>
      </c>
      <c r="F19" s="9">
        <v>0</v>
      </c>
      <c r="G19">
        <v>9</v>
      </c>
      <c r="H19">
        <v>9</v>
      </c>
      <c r="I19" s="20">
        <v>19.5</v>
      </c>
      <c r="J19" s="20">
        <v>12.9</v>
      </c>
      <c r="K19" s="20">
        <v>10</v>
      </c>
      <c r="L19" s="21">
        <f t="shared" si="26"/>
        <v>16.2</v>
      </c>
      <c r="M19" s="15">
        <f t="shared" si="15"/>
        <v>1</v>
      </c>
      <c r="N19" s="15">
        <f t="shared" si="15"/>
        <v>0.66153846153846152</v>
      </c>
      <c r="O19" s="15">
        <f t="shared" si="15"/>
        <v>0.51282051282051277</v>
      </c>
      <c r="P19" s="15">
        <f t="shared" si="15"/>
        <v>0.8307692307692307</v>
      </c>
      <c r="Q19" s="16">
        <f t="shared" si="27"/>
        <v>0.31794871794871793</v>
      </c>
      <c r="R19" s="16">
        <f t="shared" si="28"/>
        <v>0.33846153846153848</v>
      </c>
      <c r="S19" s="28">
        <f t="shared" si="8"/>
        <v>0.33846153846153848</v>
      </c>
      <c r="T19" s="28" t="e">
        <f t="shared" si="9"/>
        <v>#N/A</v>
      </c>
      <c r="U19" s="22">
        <f t="shared" si="4"/>
        <v>43.210089391753918</v>
      </c>
      <c r="V19" s="22">
        <f t="shared" si="29"/>
        <v>0.46437872503268801</v>
      </c>
      <c r="W19" s="22">
        <f t="shared" si="10"/>
        <v>0.46437872503268801</v>
      </c>
      <c r="X19" s="22" t="e">
        <f t="shared" si="11"/>
        <v>#N/A</v>
      </c>
      <c r="Y19" s="2">
        <f t="shared" si="30"/>
        <v>357.35</v>
      </c>
      <c r="Z19" s="2">
        <f t="shared" si="31"/>
        <v>14.082999999999998</v>
      </c>
      <c r="AB19" s="24"/>
      <c r="AC19" s="24"/>
      <c r="AD19" s="24"/>
      <c r="AE19" s="24"/>
      <c r="AF19" s="24"/>
      <c r="AG19" s="24"/>
      <c r="AH19" s="24">
        <f t="shared" si="16"/>
        <v>42.5</v>
      </c>
      <c r="AI19" s="2" t="str">
        <f t="shared" si="17"/>
        <v/>
      </c>
      <c r="AJ19" s="24"/>
      <c r="AK19" s="42"/>
      <c r="AL19" s="42"/>
      <c r="AM19" s="24"/>
      <c r="AN19" s="24"/>
      <c r="AO19" s="25">
        <f t="shared" si="33"/>
        <v>30.199999999999982</v>
      </c>
      <c r="AP19" s="25">
        <f t="shared" si="18"/>
        <v>4.0633830967728361E-7</v>
      </c>
      <c r="AQ19" s="25">
        <f t="shared" si="19"/>
        <v>4.5790763584947761E-11</v>
      </c>
      <c r="AS19" s="27">
        <f t="shared" si="20"/>
        <v>0.45</v>
      </c>
      <c r="AT19" s="27" t="str">
        <f t="shared" si="21"/>
        <v/>
      </c>
      <c r="AX19" s="46"/>
      <c r="AY19" s="24"/>
      <c r="AZ19">
        <f t="shared" si="35"/>
        <v>0.33000000000000013</v>
      </c>
      <c r="BA19" s="25">
        <f t="shared" si="24"/>
        <v>2.0316014743196236E-9</v>
      </c>
      <c r="BB19" s="25">
        <f t="shared" si="25"/>
        <v>1.0555370621588441E-70</v>
      </c>
      <c r="BC19" s="25"/>
      <c r="BJ19" s="2"/>
    </row>
    <row r="20" spans="1:62">
      <c r="A20" t="s">
        <v>70</v>
      </c>
      <c r="B20" s="7">
        <v>44950</v>
      </c>
      <c r="C20" t="s">
        <v>81</v>
      </c>
      <c r="D20">
        <v>6</v>
      </c>
      <c r="E20" t="s">
        <v>26</v>
      </c>
      <c r="F20" s="9">
        <v>0</v>
      </c>
      <c r="I20" s="20">
        <v>28.1</v>
      </c>
      <c r="J20" s="20">
        <v>17.100000000000001</v>
      </c>
      <c r="K20" s="20">
        <v>11.7</v>
      </c>
      <c r="L20" s="21">
        <f t="shared" si="26"/>
        <v>22.6</v>
      </c>
      <c r="M20" s="15">
        <f t="shared" si="15"/>
        <v>1</v>
      </c>
      <c r="N20" s="15">
        <f t="shared" si="15"/>
        <v>0.60854092526690395</v>
      </c>
      <c r="O20" s="15">
        <f t="shared" si="15"/>
        <v>0.41637010676156577</v>
      </c>
      <c r="P20" s="15">
        <f t="shared" si="15"/>
        <v>0.80427046263345192</v>
      </c>
      <c r="Q20" s="16">
        <f t="shared" si="27"/>
        <v>0.38790035587188615</v>
      </c>
      <c r="R20" s="16">
        <f t="shared" si="28"/>
        <v>0.39145907473309605</v>
      </c>
      <c r="S20" s="28">
        <f t="shared" si="8"/>
        <v>0.39145907473309605</v>
      </c>
      <c r="T20" s="28" t="e">
        <f t="shared" si="9"/>
        <v>#N/A</v>
      </c>
      <c r="U20" s="22">
        <f t="shared" si="4"/>
        <v>44.738377254305213</v>
      </c>
      <c r="V20" s="22">
        <f t="shared" si="29"/>
        <v>0.55109608352484929</v>
      </c>
      <c r="W20" s="22">
        <f t="shared" si="10"/>
        <v>0.55109608352484929</v>
      </c>
      <c r="X20" s="22" t="e">
        <f t="shared" si="11"/>
        <v>#N/A</v>
      </c>
      <c r="Y20" s="2">
        <f t="shared" si="30"/>
        <v>760.81000000000006</v>
      </c>
      <c r="Z20" s="2">
        <f t="shared" si="31"/>
        <v>19.032</v>
      </c>
      <c r="AB20" s="24"/>
      <c r="AC20" s="24"/>
      <c r="AD20" s="24"/>
      <c r="AE20" s="24"/>
      <c r="AF20" s="24"/>
      <c r="AG20" s="24"/>
      <c r="AH20" s="24">
        <f t="shared" si="16"/>
        <v>45</v>
      </c>
      <c r="AI20" s="2" t="str">
        <f t="shared" si="17"/>
        <v/>
      </c>
      <c r="AJ20" s="24"/>
      <c r="AK20" s="42"/>
      <c r="AL20" s="42"/>
      <c r="AM20" s="24"/>
      <c r="AN20" s="24"/>
      <c r="AO20" s="25">
        <f t="shared" si="33"/>
        <v>30.59999999999998</v>
      </c>
      <c r="AP20" s="25">
        <f t="shared" si="18"/>
        <v>1.0988524213029846E-6</v>
      </c>
      <c r="AQ20" s="25">
        <f t="shared" si="19"/>
        <v>2.3148799279485222E-10</v>
      </c>
      <c r="AS20" s="27">
        <f t="shared" si="20"/>
        <v>0.55000000000000004</v>
      </c>
      <c r="AT20" s="27" t="str">
        <f t="shared" si="21"/>
        <v/>
      </c>
      <c r="AX20" s="46"/>
      <c r="AY20" s="24"/>
      <c r="AZ20">
        <f t="shared" si="35"/>
        <v>0.34000000000000014</v>
      </c>
      <c r="BA20" s="25">
        <f t="shared" si="24"/>
        <v>1.6270017569725138E-8</v>
      </c>
      <c r="BB20" s="25">
        <f t="shared" si="25"/>
        <v>4.7370350338136538E-66</v>
      </c>
      <c r="BC20" s="25"/>
    </row>
    <row r="21" spans="1:62">
      <c r="A21" t="s">
        <v>71</v>
      </c>
      <c r="B21" s="7">
        <v>44950</v>
      </c>
      <c r="C21" t="s">
        <v>81</v>
      </c>
      <c r="D21">
        <v>6</v>
      </c>
      <c r="E21" t="s">
        <v>26</v>
      </c>
      <c r="F21" s="9">
        <v>0</v>
      </c>
      <c r="I21" s="20">
        <v>19.899999999999999</v>
      </c>
      <c r="J21" s="20">
        <v>12</v>
      </c>
      <c r="K21" s="20">
        <v>8.4</v>
      </c>
      <c r="L21" s="21">
        <f t="shared" si="26"/>
        <v>15.95</v>
      </c>
      <c r="M21" s="15">
        <f t="shared" si="15"/>
        <v>1</v>
      </c>
      <c r="N21" s="15">
        <f t="shared" si="15"/>
        <v>0.60301507537688448</v>
      </c>
      <c r="O21" s="15">
        <f t="shared" si="15"/>
        <v>0.42211055276381915</v>
      </c>
      <c r="P21" s="15">
        <f t="shared" si="15"/>
        <v>0.80150753768844218</v>
      </c>
      <c r="Q21" s="16">
        <f t="shared" si="27"/>
        <v>0.37939698492462304</v>
      </c>
      <c r="R21" s="16">
        <f t="shared" si="28"/>
        <v>0.39698492462311552</v>
      </c>
      <c r="S21" s="28">
        <f t="shared" si="8"/>
        <v>0.39698492462311552</v>
      </c>
      <c r="T21" s="28" t="e">
        <f t="shared" si="9"/>
        <v>#N/A</v>
      </c>
      <c r="U21" s="22">
        <f t="shared" si="4"/>
        <v>43.702259323260989</v>
      </c>
      <c r="V21" s="22">
        <f t="shared" si="29"/>
        <v>0.54912576205083963</v>
      </c>
      <c r="W21" s="22">
        <f t="shared" si="10"/>
        <v>0.54912576205083963</v>
      </c>
      <c r="X21" s="22" t="e">
        <f t="shared" si="11"/>
        <v>#N/A</v>
      </c>
      <c r="Y21" s="2">
        <f t="shared" si="30"/>
        <v>375.60999999999996</v>
      </c>
      <c r="Z21" s="2">
        <f t="shared" si="31"/>
        <v>13.407</v>
      </c>
      <c r="AB21" s="24"/>
      <c r="AC21" s="24"/>
      <c r="AD21" s="24"/>
      <c r="AE21" s="24"/>
      <c r="AF21" s="24"/>
      <c r="AG21" s="24"/>
      <c r="AH21" s="24">
        <f t="shared" si="16"/>
        <v>42.5</v>
      </c>
      <c r="AI21" s="2" t="str">
        <f t="shared" si="17"/>
        <v/>
      </c>
      <c r="AJ21" s="24"/>
      <c r="AK21" s="42"/>
      <c r="AL21" s="42"/>
      <c r="AM21" s="24"/>
      <c r="AN21" s="24"/>
      <c r="AO21" s="25">
        <f t="shared" si="33"/>
        <v>30.999999999999979</v>
      </c>
      <c r="AP21" s="25">
        <f t="shared" si="18"/>
        <v>2.8853536680508309E-6</v>
      </c>
      <c r="AQ21" s="25">
        <f t="shared" si="19"/>
        <v>1.1105048655377262E-9</v>
      </c>
      <c r="AS21" s="27">
        <f t="shared" si="20"/>
        <v>0.55000000000000004</v>
      </c>
      <c r="AT21" s="27" t="str">
        <f t="shared" si="21"/>
        <v/>
      </c>
      <c r="AX21" s="46"/>
      <c r="AY21" s="24"/>
      <c r="AZ21">
        <f t="shared" si="35"/>
        <v>0.35000000000000014</v>
      </c>
      <c r="BA21" s="25">
        <f t="shared" si="24"/>
        <v>1.1780693339922498E-7</v>
      </c>
      <c r="BB21" s="25">
        <f t="shared" si="25"/>
        <v>1.4805195259255178E-61</v>
      </c>
      <c r="BC21" s="25"/>
    </row>
    <row r="22" spans="1:62">
      <c r="A22" s="5" t="s">
        <v>72</v>
      </c>
      <c r="B22" s="7">
        <v>44950</v>
      </c>
      <c r="C22" t="s">
        <v>81</v>
      </c>
      <c r="D22">
        <v>5</v>
      </c>
      <c r="E22" t="s">
        <v>26</v>
      </c>
      <c r="F22" s="9">
        <v>0</v>
      </c>
      <c r="G22">
        <v>10</v>
      </c>
      <c r="H22">
        <v>10</v>
      </c>
      <c r="I22" s="20">
        <v>21.5</v>
      </c>
      <c r="J22" s="20">
        <v>13.9</v>
      </c>
      <c r="K22" s="20">
        <v>10.6</v>
      </c>
      <c r="L22" s="21">
        <f t="shared" si="26"/>
        <v>17.7</v>
      </c>
      <c r="M22" s="15">
        <f t="shared" si="15"/>
        <v>1</v>
      </c>
      <c r="N22" s="15">
        <f t="shared" si="15"/>
        <v>0.6465116279069768</v>
      </c>
      <c r="O22" s="15">
        <f t="shared" si="15"/>
        <v>0.49302325581395345</v>
      </c>
      <c r="P22" s="15">
        <f t="shared" si="15"/>
        <v>0.82325581395348835</v>
      </c>
      <c r="Q22" s="16">
        <f t="shared" si="27"/>
        <v>0.33023255813953489</v>
      </c>
      <c r="R22" s="16">
        <f t="shared" si="28"/>
        <v>0.3534883720930232</v>
      </c>
      <c r="S22" s="28">
        <f t="shared" si="8"/>
        <v>0.3534883720930232</v>
      </c>
      <c r="T22" s="28" t="e">
        <f t="shared" si="9"/>
        <v>#N/A</v>
      </c>
      <c r="U22" s="22">
        <f t="shared" si="4"/>
        <v>43.051914993485049</v>
      </c>
      <c r="V22" s="22">
        <f t="shared" si="29"/>
        <v>0.48374329107529429</v>
      </c>
      <c r="W22" s="22">
        <f t="shared" si="10"/>
        <v>0.48374329107529429</v>
      </c>
      <c r="X22" s="22" t="e">
        <f t="shared" si="11"/>
        <v>#N/A</v>
      </c>
      <c r="Y22" s="2">
        <f t="shared" si="30"/>
        <v>437.75</v>
      </c>
      <c r="Z22" s="2">
        <f t="shared" si="31"/>
        <v>15.265000000000001</v>
      </c>
      <c r="AB22" s="24"/>
      <c r="AC22" s="24"/>
      <c r="AD22" s="24"/>
      <c r="AE22" s="24"/>
      <c r="AF22" s="24"/>
      <c r="AG22" s="24"/>
      <c r="AH22" s="24">
        <f t="shared" si="16"/>
        <v>42.5</v>
      </c>
      <c r="AI22" s="2" t="str">
        <f t="shared" si="17"/>
        <v/>
      </c>
      <c r="AJ22" s="24"/>
      <c r="AK22" s="42"/>
      <c r="AL22" s="42"/>
      <c r="AM22" s="24"/>
      <c r="AN22" s="24"/>
      <c r="AO22" s="25">
        <f t="shared" si="33"/>
        <v>31.399999999999977</v>
      </c>
      <c r="AP22" s="25">
        <f t="shared" si="18"/>
        <v>7.3564251847757181E-6</v>
      </c>
      <c r="AQ22" s="25">
        <f t="shared" si="19"/>
        <v>5.0553808045599483E-9</v>
      </c>
      <c r="AS22" s="27">
        <f t="shared" si="20"/>
        <v>0.5</v>
      </c>
      <c r="AT22" s="27" t="str">
        <f t="shared" si="21"/>
        <v/>
      </c>
      <c r="AX22" s="46"/>
      <c r="AY22" s="24"/>
      <c r="AZ22">
        <f t="shared" si="35"/>
        <v>0.36000000000000015</v>
      </c>
      <c r="BA22" s="25">
        <f t="shared" si="24"/>
        <v>7.7123549112417124E-7</v>
      </c>
      <c r="BB22" s="25">
        <f t="shared" si="25"/>
        <v>3.2225236653465492E-57</v>
      </c>
      <c r="BC22" s="25"/>
    </row>
    <row r="23" spans="1:62">
      <c r="A23" t="s">
        <v>73</v>
      </c>
      <c r="B23" s="7">
        <v>44950</v>
      </c>
      <c r="C23" t="s">
        <v>81</v>
      </c>
      <c r="D23">
        <v>6</v>
      </c>
      <c r="E23" t="s">
        <v>26</v>
      </c>
      <c r="F23" s="9">
        <v>0</v>
      </c>
      <c r="I23" s="20">
        <v>29.7</v>
      </c>
      <c r="J23" s="20">
        <v>17.399999999999999</v>
      </c>
      <c r="K23" s="20">
        <v>11.2</v>
      </c>
      <c r="L23" s="21">
        <f t="shared" si="26"/>
        <v>23.549999999999997</v>
      </c>
      <c r="M23" s="15">
        <f t="shared" si="15"/>
        <v>1</v>
      </c>
      <c r="N23" s="15">
        <f t="shared" si="15"/>
        <v>0.58585858585858586</v>
      </c>
      <c r="O23" s="15">
        <f t="shared" si="15"/>
        <v>0.37710437710437711</v>
      </c>
      <c r="P23" s="15">
        <f t="shared" si="15"/>
        <v>0.79292929292929282</v>
      </c>
      <c r="Q23" s="16">
        <f t="shared" si="27"/>
        <v>0.41582491582491571</v>
      </c>
      <c r="R23" s="16">
        <f t="shared" si="28"/>
        <v>0.41414141414141414</v>
      </c>
      <c r="S23" s="28">
        <f t="shared" si="8"/>
        <v>0.41414141414141414</v>
      </c>
      <c r="T23" s="28" t="e">
        <f t="shared" si="9"/>
        <v>#N/A</v>
      </c>
      <c r="U23" s="22">
        <f t="shared" si="4"/>
        <v>45.116218460312545</v>
      </c>
      <c r="V23" s="22">
        <f t="shared" si="29"/>
        <v>0.58687602739236888</v>
      </c>
      <c r="W23" s="22">
        <f t="shared" si="10"/>
        <v>0.58687602739236888</v>
      </c>
      <c r="X23" s="22" t="e">
        <f t="shared" si="11"/>
        <v>#N/A</v>
      </c>
      <c r="Y23" s="2">
        <f t="shared" si="30"/>
        <v>853.4899999999999</v>
      </c>
      <c r="Z23" s="2">
        <f t="shared" si="31"/>
        <v>19.548999999999996</v>
      </c>
      <c r="AB23" s="24"/>
      <c r="AC23" s="24"/>
      <c r="AD23" s="24"/>
      <c r="AE23" s="24"/>
      <c r="AF23" s="24"/>
      <c r="AG23" s="24"/>
      <c r="AH23" s="24">
        <f t="shared" si="16"/>
        <v>45</v>
      </c>
      <c r="AI23" s="2" t="str">
        <f t="shared" si="17"/>
        <v/>
      </c>
      <c r="AJ23" s="24"/>
      <c r="AK23" s="42"/>
      <c r="AL23" s="42"/>
      <c r="AM23" s="24"/>
      <c r="AN23" s="24"/>
      <c r="AO23" s="25">
        <f t="shared" si="33"/>
        <v>31.799999999999976</v>
      </c>
      <c r="AP23" s="25">
        <f t="shared" si="18"/>
        <v>1.8211372421532018E-5</v>
      </c>
      <c r="AQ23" s="25">
        <f t="shared" si="19"/>
        <v>2.1838796295644008E-8</v>
      </c>
      <c r="AS23" s="27">
        <f t="shared" si="20"/>
        <v>0.60000000000000009</v>
      </c>
      <c r="AT23" s="27" t="str">
        <f t="shared" si="21"/>
        <v/>
      </c>
      <c r="AX23" s="46"/>
      <c r="AY23" s="24"/>
      <c r="AZ23">
        <f t="shared" si="35"/>
        <v>0.37000000000000016</v>
      </c>
      <c r="BA23" s="25">
        <f t="shared" si="24"/>
        <v>4.5649548804531001E-6</v>
      </c>
      <c r="BB23" s="25">
        <f t="shared" si="25"/>
        <v>4.8848645327389121E-53</v>
      </c>
      <c r="BC23" s="25"/>
    </row>
    <row r="24" spans="1:62">
      <c r="A24" t="s">
        <v>74</v>
      </c>
      <c r="B24" s="7">
        <v>44950</v>
      </c>
      <c r="C24" t="s">
        <v>81</v>
      </c>
      <c r="D24">
        <v>6</v>
      </c>
      <c r="E24" t="s">
        <v>17</v>
      </c>
      <c r="I24" s="20">
        <v>29.7</v>
      </c>
      <c r="J24" s="20">
        <v>17</v>
      </c>
      <c r="K24" s="20">
        <v>11.2</v>
      </c>
      <c r="L24" s="21">
        <f t="shared" si="26"/>
        <v>23.35</v>
      </c>
      <c r="M24" s="15">
        <f t="shared" si="15"/>
        <v>1</v>
      </c>
      <c r="N24" s="15">
        <f t="shared" si="15"/>
        <v>0.57239057239057245</v>
      </c>
      <c r="O24" s="15">
        <f t="shared" si="15"/>
        <v>0.37710437710437711</v>
      </c>
      <c r="P24" s="15">
        <f t="shared" si="15"/>
        <v>0.78619528619528622</v>
      </c>
      <c r="Q24" s="16">
        <f t="shared" si="27"/>
        <v>0.40909090909090912</v>
      </c>
      <c r="R24" s="16">
        <f t="shared" si="28"/>
        <v>0.42760942760942755</v>
      </c>
      <c r="S24" s="28" t="e">
        <f t="shared" si="8"/>
        <v>#N/A</v>
      </c>
      <c r="T24" s="28">
        <f t="shared" si="9"/>
        <v>0.42760942760942755</v>
      </c>
      <c r="U24" s="22">
        <f t="shared" si="4"/>
        <v>43.732091161509295</v>
      </c>
      <c r="V24" s="22">
        <f t="shared" si="29"/>
        <v>0.59178137388843921</v>
      </c>
      <c r="W24" s="22" t="e">
        <f t="shared" si="10"/>
        <v>#N/A</v>
      </c>
      <c r="X24" s="22">
        <f t="shared" si="11"/>
        <v>0.59178137388843921</v>
      </c>
      <c r="Y24" s="2">
        <f t="shared" si="30"/>
        <v>853.88999999999987</v>
      </c>
      <c r="Z24" s="2">
        <f t="shared" si="31"/>
        <v>19.260999999999999</v>
      </c>
      <c r="AB24" s="24"/>
      <c r="AC24" s="24"/>
      <c r="AD24" s="24"/>
      <c r="AE24" s="24"/>
      <c r="AF24" s="24"/>
      <c r="AG24" s="24"/>
      <c r="AH24" s="24" t="str">
        <f t="shared" si="16"/>
        <v/>
      </c>
      <c r="AI24" s="2">
        <f t="shared" si="17"/>
        <v>42.5</v>
      </c>
      <c r="AJ24" s="24"/>
      <c r="AK24" s="42"/>
      <c r="AL24" s="42"/>
      <c r="AM24" s="24"/>
      <c r="AN24" s="24"/>
      <c r="AO24" s="25">
        <f t="shared" si="33"/>
        <v>32.199999999999974</v>
      </c>
      <c r="AP24" s="25">
        <f t="shared" si="18"/>
        <v>4.3775046234489836E-5</v>
      </c>
      <c r="AQ24" s="25">
        <f t="shared" si="19"/>
        <v>8.9525124282608112E-8</v>
      </c>
      <c r="AS24" s="27" t="str">
        <f t="shared" si="20"/>
        <v/>
      </c>
      <c r="AT24" s="27">
        <f t="shared" si="21"/>
        <v>0.60000000000000009</v>
      </c>
      <c r="AX24" s="46"/>
      <c r="AY24" s="24"/>
      <c r="AZ24">
        <f t="shared" si="35"/>
        <v>0.38000000000000017</v>
      </c>
      <c r="BA24" s="25">
        <f t="shared" si="24"/>
        <v>2.4429765509655075E-5</v>
      </c>
      <c r="BB24" s="25">
        <f t="shared" si="25"/>
        <v>5.1568365509088243E-49</v>
      </c>
      <c r="BC24" s="25"/>
    </row>
    <row r="25" spans="1:62">
      <c r="A25" t="s">
        <v>75</v>
      </c>
      <c r="B25" s="7">
        <v>44950</v>
      </c>
      <c r="C25" t="s">
        <v>81</v>
      </c>
      <c r="D25">
        <v>6</v>
      </c>
      <c r="E25" t="s">
        <v>17</v>
      </c>
      <c r="I25" s="20">
        <v>22.9</v>
      </c>
      <c r="J25" s="20">
        <v>12.7</v>
      </c>
      <c r="K25" s="20">
        <v>8.1999999999999993</v>
      </c>
      <c r="L25" s="21">
        <f t="shared" si="26"/>
        <v>17.799999999999997</v>
      </c>
      <c r="M25" s="15">
        <f t="shared" si="15"/>
        <v>1</v>
      </c>
      <c r="N25" s="15">
        <f t="shared" si="15"/>
        <v>0.55458515283842791</v>
      </c>
      <c r="O25" s="15">
        <f t="shared" si="15"/>
        <v>0.35807860262008734</v>
      </c>
      <c r="P25" s="15">
        <f t="shared" si="15"/>
        <v>0.7772925764192139</v>
      </c>
      <c r="Q25" s="16">
        <f t="shared" si="27"/>
        <v>0.41921397379912656</v>
      </c>
      <c r="R25" s="16">
        <f t="shared" si="28"/>
        <v>0.44541484716157209</v>
      </c>
      <c r="S25" s="28" t="e">
        <f t="shared" si="8"/>
        <v>#N/A</v>
      </c>
      <c r="T25" s="28">
        <f t="shared" si="9"/>
        <v>0.44541484716157209</v>
      </c>
      <c r="U25" s="22">
        <f t="shared" si="4"/>
        <v>43.2642954110716</v>
      </c>
      <c r="V25" s="22">
        <f t="shared" si="29"/>
        <v>0.61166554741984724</v>
      </c>
      <c r="W25" s="22" t="e">
        <f t="shared" si="10"/>
        <v>#N/A</v>
      </c>
      <c r="X25" s="22">
        <f t="shared" si="11"/>
        <v>0.61166554741984724</v>
      </c>
      <c r="Y25" s="2">
        <f t="shared" si="30"/>
        <v>503.51</v>
      </c>
      <c r="Z25" s="2">
        <f t="shared" si="31"/>
        <v>14.526999999999997</v>
      </c>
      <c r="AB25" s="24"/>
      <c r="AC25" s="24"/>
      <c r="AD25" s="24"/>
      <c r="AE25" s="24"/>
      <c r="AF25" s="24"/>
      <c r="AG25" s="24"/>
      <c r="AH25" s="24" t="str">
        <f t="shared" si="16"/>
        <v/>
      </c>
      <c r="AI25" s="2">
        <f t="shared" si="17"/>
        <v>42.5</v>
      </c>
      <c r="AJ25" s="24"/>
      <c r="AK25" s="42"/>
      <c r="AL25" s="42"/>
      <c r="AM25" s="24"/>
      <c r="AN25" s="24"/>
      <c r="AO25" s="25">
        <f t="shared" si="33"/>
        <v>32.599999999999973</v>
      </c>
      <c r="AP25" s="25">
        <f t="shared" si="18"/>
        <v>1.0216888071570054E-4</v>
      </c>
      <c r="AQ25" s="25">
        <f t="shared" si="19"/>
        <v>3.482591861024249E-7</v>
      </c>
      <c r="AS25" s="27" t="str">
        <f t="shared" si="20"/>
        <v/>
      </c>
      <c r="AT25" s="27">
        <f t="shared" si="21"/>
        <v>0.60000000000000009</v>
      </c>
      <c r="AX25" s="46"/>
      <c r="AY25" s="24"/>
      <c r="AZ25">
        <f t="shared" si="35"/>
        <v>0.39000000000000018</v>
      </c>
      <c r="BA25" s="25">
        <f t="shared" si="24"/>
        <v>1.1820488750938426E-4</v>
      </c>
      <c r="BB25" s="25">
        <f t="shared" si="25"/>
        <v>3.7913042832368521E-45</v>
      </c>
      <c r="BC25" s="25"/>
    </row>
    <row r="26" spans="1:62">
      <c r="A26" t="s">
        <v>76</v>
      </c>
      <c r="B26" s="7">
        <v>44950</v>
      </c>
      <c r="C26" t="s">
        <v>81</v>
      </c>
      <c r="D26">
        <v>5</v>
      </c>
      <c r="E26" t="s">
        <v>26</v>
      </c>
      <c r="F26" s="9">
        <v>1</v>
      </c>
      <c r="G26">
        <v>9</v>
      </c>
      <c r="H26">
        <v>8</v>
      </c>
      <c r="I26" s="20">
        <v>19.5</v>
      </c>
      <c r="J26" s="20">
        <v>14</v>
      </c>
      <c r="K26" s="20">
        <v>13.3</v>
      </c>
      <c r="L26" s="21">
        <f t="shared" si="26"/>
        <v>16.75</v>
      </c>
      <c r="M26" s="15">
        <f t="shared" si="15"/>
        <v>1</v>
      </c>
      <c r="N26" s="15">
        <f t="shared" si="15"/>
        <v>0.71794871794871795</v>
      </c>
      <c r="O26" s="15">
        <f t="shared" si="15"/>
        <v>0.68205128205128207</v>
      </c>
      <c r="P26" s="15">
        <f t="shared" si="15"/>
        <v>0.85897435897435892</v>
      </c>
      <c r="Q26" s="16">
        <f t="shared" si="27"/>
        <v>0.17692307692307685</v>
      </c>
      <c r="R26" s="16">
        <f t="shared" si="28"/>
        <v>0.28205128205128205</v>
      </c>
      <c r="S26" s="28">
        <f t="shared" si="8"/>
        <v>0.28205128205128205</v>
      </c>
      <c r="T26" s="28" t="e">
        <f t="shared" si="9"/>
        <v>#N/A</v>
      </c>
      <c r="U26" s="22">
        <f t="shared" si="4"/>
        <v>32.098927254785181</v>
      </c>
      <c r="V26" s="22">
        <f t="shared" si="29"/>
        <v>0.33294849579882596</v>
      </c>
      <c r="W26" s="22">
        <f t="shared" si="10"/>
        <v>0.33294849579882596</v>
      </c>
      <c r="X26" s="22" t="e">
        <f t="shared" si="11"/>
        <v>#N/A</v>
      </c>
      <c r="Y26" s="2">
        <f t="shared" si="30"/>
        <v>352.95</v>
      </c>
      <c r="Z26" s="2">
        <f t="shared" si="31"/>
        <v>15.106000000000002</v>
      </c>
      <c r="AB26" s="24"/>
      <c r="AC26" s="24"/>
      <c r="AD26" s="24"/>
      <c r="AE26" s="24"/>
      <c r="AF26" s="24"/>
      <c r="AG26" s="24"/>
      <c r="AH26" s="24">
        <f t="shared" si="16"/>
        <v>32.5</v>
      </c>
      <c r="AI26" s="2" t="str">
        <f t="shared" si="17"/>
        <v/>
      </c>
      <c r="AJ26" s="24"/>
      <c r="AK26" s="42"/>
      <c r="AL26" s="42"/>
      <c r="AM26" s="24"/>
      <c r="AN26" s="24"/>
      <c r="AO26" s="25">
        <f t="shared" si="33"/>
        <v>32.999999999999972</v>
      </c>
      <c r="AP26" s="25">
        <f t="shared" si="18"/>
        <v>2.3153611518478547E-4</v>
      </c>
      <c r="AQ26" s="25">
        <f t="shared" si="19"/>
        <v>1.2855875021090667E-6</v>
      </c>
      <c r="AS26" s="27">
        <f t="shared" si="20"/>
        <v>0.35000000000000003</v>
      </c>
      <c r="AT26" s="27" t="str">
        <f t="shared" si="21"/>
        <v/>
      </c>
      <c r="AX26" s="46"/>
      <c r="AY26" s="24"/>
      <c r="AZ26">
        <f t="shared" si="35"/>
        <v>0.40000000000000019</v>
      </c>
      <c r="BA26" s="25">
        <f t="shared" si="24"/>
        <v>5.1711233366159013E-4</v>
      </c>
      <c r="BB26" s="25">
        <f t="shared" si="25"/>
        <v>1.9411913602463187E-41</v>
      </c>
      <c r="BC26" s="25"/>
    </row>
    <row r="27" spans="1:62">
      <c r="A27" t="s">
        <v>28</v>
      </c>
      <c r="B27" s="7">
        <v>44950</v>
      </c>
      <c r="C27" t="s">
        <v>81</v>
      </c>
      <c r="D27">
        <v>5</v>
      </c>
      <c r="E27" t="s">
        <v>26</v>
      </c>
      <c r="F27" s="9">
        <v>0</v>
      </c>
      <c r="G27">
        <v>10</v>
      </c>
      <c r="H27">
        <v>10</v>
      </c>
      <c r="I27" s="20">
        <v>17.8</v>
      </c>
      <c r="J27" s="20">
        <v>12.4</v>
      </c>
      <c r="K27" s="20">
        <v>11.4</v>
      </c>
      <c r="L27" s="21">
        <f t="shared" si="26"/>
        <v>15.100000000000001</v>
      </c>
      <c r="M27" s="15">
        <f t="shared" si="15"/>
        <v>1</v>
      </c>
      <c r="N27" s="15">
        <f t="shared" si="15"/>
        <v>0.6966292134831461</v>
      </c>
      <c r="O27" s="15">
        <f t="shared" si="15"/>
        <v>0.6404494382022472</v>
      </c>
      <c r="P27" s="15">
        <f t="shared" si="15"/>
        <v>0.84831460674157311</v>
      </c>
      <c r="Q27" s="16">
        <f t="shared" si="27"/>
        <v>0.20786516853932591</v>
      </c>
      <c r="R27" s="16">
        <f t="shared" si="28"/>
        <v>0.3033707865168539</v>
      </c>
      <c r="S27" s="28">
        <f t="shared" si="8"/>
        <v>0.3033707865168539</v>
      </c>
      <c r="T27" s="28" t="e">
        <f t="shared" si="9"/>
        <v>#N/A</v>
      </c>
      <c r="U27" s="22">
        <f t="shared" si="4"/>
        <v>34.418364479056223</v>
      </c>
      <c r="V27" s="22">
        <f t="shared" si="29"/>
        <v>0.36775231121467739</v>
      </c>
      <c r="W27" s="22">
        <f t="shared" si="10"/>
        <v>0.36775231121467739</v>
      </c>
      <c r="X27" s="22" t="e">
        <f t="shared" si="11"/>
        <v>#N/A</v>
      </c>
      <c r="Y27" s="2">
        <f t="shared" si="30"/>
        <v>293.04000000000008</v>
      </c>
      <c r="Z27" s="2">
        <f t="shared" si="31"/>
        <v>13.463999999999999</v>
      </c>
      <c r="AB27" s="24"/>
      <c r="AC27" s="24"/>
      <c r="AD27" s="24"/>
      <c r="AE27" s="24"/>
      <c r="AF27" s="24"/>
      <c r="AG27" s="24"/>
      <c r="AH27" s="24">
        <f t="shared" si="16"/>
        <v>35</v>
      </c>
      <c r="AI27" s="2" t="str">
        <f t="shared" si="17"/>
        <v/>
      </c>
      <c r="AJ27" s="24"/>
      <c r="AK27" s="42"/>
      <c r="AL27" s="42"/>
      <c r="AM27" s="24"/>
      <c r="AN27" s="24"/>
      <c r="AO27" s="25">
        <f t="shared" si="33"/>
        <v>33.39999999999997</v>
      </c>
      <c r="AP27" s="25">
        <f t="shared" si="18"/>
        <v>5.094797573782226E-4</v>
      </c>
      <c r="AQ27" s="25">
        <f t="shared" si="19"/>
        <v>4.5034165106999397E-6</v>
      </c>
      <c r="AS27" s="27">
        <f t="shared" si="20"/>
        <v>0.35000000000000003</v>
      </c>
      <c r="AT27" s="27" t="str">
        <f t="shared" si="21"/>
        <v/>
      </c>
      <c r="AX27" s="46"/>
      <c r="AY27" s="24"/>
      <c r="AZ27">
        <f t="shared" si="35"/>
        <v>0.4100000000000002</v>
      </c>
      <c r="BA27" s="25">
        <f t="shared" si="24"/>
        <v>2.0453502354687266E-3</v>
      </c>
      <c r="BB27" s="25">
        <f t="shared" si="25"/>
        <v>6.9218548978725123E-38</v>
      </c>
      <c r="BC27" s="25"/>
    </row>
    <row r="28" spans="1:62">
      <c r="A28" t="s">
        <v>77</v>
      </c>
      <c r="B28" s="7">
        <v>44950</v>
      </c>
      <c r="C28" t="s">
        <v>81</v>
      </c>
      <c r="D28">
        <v>5</v>
      </c>
      <c r="E28" t="s">
        <v>17</v>
      </c>
      <c r="G28">
        <v>9</v>
      </c>
      <c r="H28">
        <v>9</v>
      </c>
      <c r="I28" s="20">
        <v>20.399999999999999</v>
      </c>
      <c r="J28" s="20">
        <v>12.8</v>
      </c>
      <c r="K28" s="20">
        <v>9.9</v>
      </c>
      <c r="L28" s="21">
        <f t="shared" si="26"/>
        <v>16.600000000000001</v>
      </c>
      <c r="M28" s="15">
        <f t="shared" si="15"/>
        <v>1</v>
      </c>
      <c r="N28" s="15">
        <f t="shared" si="15"/>
        <v>0.62745098039215697</v>
      </c>
      <c r="O28" s="15">
        <f t="shared" si="15"/>
        <v>0.48529411764705888</v>
      </c>
      <c r="P28" s="15">
        <f t="shared" si="15"/>
        <v>0.81372549019607854</v>
      </c>
      <c r="Q28" s="16">
        <f t="shared" si="27"/>
        <v>0.32843137254901966</v>
      </c>
      <c r="R28" s="16">
        <f t="shared" si="28"/>
        <v>0.37254901960784303</v>
      </c>
      <c r="S28" s="28" t="e">
        <f t="shared" si="8"/>
        <v>#N/A</v>
      </c>
      <c r="T28" s="28">
        <f t="shared" si="9"/>
        <v>0.37254901960784303</v>
      </c>
      <c r="U28" s="22">
        <f t="shared" si="4"/>
        <v>41.398721882776577</v>
      </c>
      <c r="V28" s="22">
        <f t="shared" si="29"/>
        <v>0.49664870732258831</v>
      </c>
      <c r="W28" s="22" t="e">
        <f t="shared" si="10"/>
        <v>#N/A</v>
      </c>
      <c r="X28" s="22">
        <f t="shared" si="11"/>
        <v>0.49664870732258831</v>
      </c>
      <c r="Y28" s="2">
        <f t="shared" si="30"/>
        <v>393.46</v>
      </c>
      <c r="Z28" s="2">
        <f t="shared" si="31"/>
        <v>14.193</v>
      </c>
      <c r="AB28" s="24"/>
      <c r="AC28" s="24"/>
      <c r="AD28" s="24"/>
      <c r="AE28" s="24"/>
      <c r="AF28" s="24"/>
      <c r="AG28" s="24"/>
      <c r="AH28" s="24" t="str">
        <f t="shared" si="16"/>
        <v/>
      </c>
      <c r="AI28" s="2">
        <f t="shared" si="17"/>
        <v>42.5</v>
      </c>
      <c r="AJ28" s="24"/>
      <c r="AK28" s="42"/>
      <c r="AL28" s="42"/>
      <c r="AM28" s="24"/>
      <c r="AN28" s="24"/>
      <c r="AO28" s="25">
        <f t="shared" si="33"/>
        <v>33.799999999999969</v>
      </c>
      <c r="AP28" s="25">
        <f t="shared" si="18"/>
        <v>1.0885370334057112E-3</v>
      </c>
      <c r="AQ28" s="25">
        <f t="shared" si="19"/>
        <v>1.4970075911327438E-5</v>
      </c>
      <c r="AS28" s="27" t="str">
        <f t="shared" si="20"/>
        <v/>
      </c>
      <c r="AT28" s="27">
        <f t="shared" si="21"/>
        <v>0.5</v>
      </c>
      <c r="AZ28">
        <f t="shared" si="35"/>
        <v>0.42000000000000021</v>
      </c>
      <c r="BA28" s="25">
        <f t="shared" si="24"/>
        <v>7.3144857904246345E-3</v>
      </c>
      <c r="BB28" s="25">
        <f t="shared" si="25"/>
        <v>1.7189017958844803E-34</v>
      </c>
      <c r="BC28" s="25"/>
    </row>
    <row r="29" spans="1:62">
      <c r="A29" t="s">
        <v>78</v>
      </c>
      <c r="B29" s="7">
        <v>44950</v>
      </c>
      <c r="C29" t="s">
        <v>81</v>
      </c>
      <c r="D29">
        <v>5</v>
      </c>
      <c r="E29" t="s">
        <v>26</v>
      </c>
      <c r="G29">
        <v>7</v>
      </c>
      <c r="H29">
        <v>7</v>
      </c>
      <c r="I29" s="20">
        <v>18.8</v>
      </c>
      <c r="J29" s="20">
        <v>13.3</v>
      </c>
      <c r="K29" s="20">
        <v>10.6</v>
      </c>
      <c r="L29" s="21">
        <f t="shared" si="26"/>
        <v>16.05</v>
      </c>
      <c r="M29" s="15">
        <f t="shared" si="15"/>
        <v>1</v>
      </c>
      <c r="N29" s="15">
        <f t="shared" si="15"/>
        <v>0.70744680851063835</v>
      </c>
      <c r="O29" s="15">
        <f t="shared" si="15"/>
        <v>0.56382978723404253</v>
      </c>
      <c r="P29" s="15">
        <f t="shared" si="15"/>
        <v>0.85372340425531912</v>
      </c>
      <c r="Q29" s="16">
        <f t="shared" si="27"/>
        <v>0.28989361702127658</v>
      </c>
      <c r="R29" s="16">
        <f t="shared" si="28"/>
        <v>0.29255319148936165</v>
      </c>
      <c r="S29" s="28">
        <f t="shared" si="8"/>
        <v>0.29255319148936165</v>
      </c>
      <c r="T29" s="28" t="e">
        <f t="shared" si="9"/>
        <v>#N/A</v>
      </c>
      <c r="U29" s="22">
        <f t="shared" si="4"/>
        <v>44.738377254305199</v>
      </c>
      <c r="V29" s="22">
        <f t="shared" si="29"/>
        <v>0.41185638157043247</v>
      </c>
      <c r="W29" s="22">
        <f t="shared" si="10"/>
        <v>0.41185638157043247</v>
      </c>
      <c r="X29" s="22" t="e">
        <f t="shared" si="11"/>
        <v>#N/A</v>
      </c>
      <c r="Y29" s="2">
        <f t="shared" si="30"/>
        <v>329.54</v>
      </c>
      <c r="Z29" s="2">
        <f t="shared" si="31"/>
        <v>14.266000000000002</v>
      </c>
      <c r="AB29" s="24"/>
      <c r="AC29" s="24"/>
      <c r="AD29" s="24"/>
      <c r="AE29" s="24"/>
      <c r="AF29" s="24"/>
      <c r="AG29" s="24"/>
      <c r="AH29" s="24">
        <f t="shared" si="16"/>
        <v>45</v>
      </c>
      <c r="AI29" s="2" t="str">
        <f t="shared" si="17"/>
        <v/>
      </c>
      <c r="AJ29" s="24"/>
      <c r="AK29" s="42"/>
      <c r="AL29" s="42"/>
      <c r="AM29" s="24"/>
      <c r="AN29" s="24"/>
      <c r="AO29" s="25">
        <f t="shared" si="33"/>
        <v>34.199999999999967</v>
      </c>
      <c r="AP29" s="25">
        <f t="shared" si="18"/>
        <v>2.2582268609095922E-3</v>
      </c>
      <c r="AQ29" s="25">
        <f t="shared" si="19"/>
        <v>4.7222318101067212E-5</v>
      </c>
      <c r="AS29" s="27">
        <f t="shared" si="20"/>
        <v>0.4</v>
      </c>
      <c r="AT29" s="27" t="str">
        <f t="shared" si="21"/>
        <v/>
      </c>
      <c r="AZ29">
        <f t="shared" si="35"/>
        <v>0.43000000000000022</v>
      </c>
      <c r="BA29" s="25">
        <f t="shared" si="24"/>
        <v>2.3650114224272788E-2</v>
      </c>
      <c r="BB29" s="25">
        <f t="shared" si="25"/>
        <v>2.9727204637038795E-31</v>
      </c>
      <c r="BC29" s="25"/>
      <c r="BE29" s="2"/>
    </row>
    <row r="30" spans="1:62">
      <c r="A30" t="s">
        <v>79</v>
      </c>
      <c r="B30" s="7">
        <v>44950</v>
      </c>
      <c r="C30" t="s">
        <v>81</v>
      </c>
      <c r="D30">
        <v>5</v>
      </c>
      <c r="E30" t="s">
        <v>26</v>
      </c>
      <c r="G30">
        <v>9</v>
      </c>
      <c r="H30">
        <v>9</v>
      </c>
      <c r="I30" s="20">
        <v>22.6</v>
      </c>
      <c r="J30" s="20">
        <v>15.5</v>
      </c>
      <c r="K30" s="20">
        <v>12.2</v>
      </c>
      <c r="L30" s="21">
        <f t="shared" si="26"/>
        <v>19.05</v>
      </c>
      <c r="M30" s="15">
        <f t="shared" si="15"/>
        <v>1</v>
      </c>
      <c r="N30" s="15">
        <f t="shared" si="15"/>
        <v>0.68584070796460173</v>
      </c>
      <c r="O30" s="15">
        <f t="shared" si="15"/>
        <v>0.53982300884955747</v>
      </c>
      <c r="P30" s="15">
        <f t="shared" si="15"/>
        <v>0.84292035398230092</v>
      </c>
      <c r="Q30" s="16">
        <f t="shared" si="27"/>
        <v>0.30309734513274345</v>
      </c>
      <c r="R30" s="16">
        <f t="shared" si="28"/>
        <v>0.31415929203539827</v>
      </c>
      <c r="S30" s="28">
        <f t="shared" si="8"/>
        <v>0.31415929203539827</v>
      </c>
      <c r="T30" s="28" t="e">
        <f t="shared" si="9"/>
        <v>#N/A</v>
      </c>
      <c r="U30" s="22">
        <f t="shared" si="4"/>
        <v>43.973303819942124</v>
      </c>
      <c r="V30" s="22">
        <f t="shared" si="29"/>
        <v>0.43653643765291811</v>
      </c>
      <c r="W30" s="22">
        <f t="shared" si="10"/>
        <v>0.43653643765291811</v>
      </c>
      <c r="X30" s="22" t="e">
        <f t="shared" si="11"/>
        <v>#N/A</v>
      </c>
      <c r="Y30" s="2">
        <f t="shared" si="30"/>
        <v>483.06000000000006</v>
      </c>
      <c r="Z30" s="2">
        <f t="shared" si="31"/>
        <v>16.760000000000002</v>
      </c>
      <c r="AB30" s="24"/>
      <c r="AC30" s="24"/>
      <c r="AD30" s="24"/>
      <c r="AE30" s="24"/>
      <c r="AF30" s="24"/>
      <c r="AG30" s="24"/>
      <c r="AH30" s="24">
        <f t="shared" si="16"/>
        <v>45</v>
      </c>
      <c r="AI30" s="2" t="str">
        <f t="shared" si="17"/>
        <v/>
      </c>
      <c r="AJ30" s="24"/>
      <c r="AK30" s="42"/>
      <c r="AL30" s="42"/>
      <c r="AM30" s="24"/>
      <c r="AN30" s="24"/>
      <c r="AO30" s="25">
        <f t="shared" si="33"/>
        <v>34.599999999999966</v>
      </c>
      <c r="AP30" s="25">
        <f t="shared" si="18"/>
        <v>4.5488332135546206E-3</v>
      </c>
      <c r="AQ30" s="25">
        <f t="shared" si="19"/>
        <v>1.4135527345830761E-4</v>
      </c>
      <c r="AS30" s="27">
        <f t="shared" si="20"/>
        <v>0.45</v>
      </c>
      <c r="AT30" s="27" t="str">
        <f t="shared" si="21"/>
        <v/>
      </c>
      <c r="AZ30">
        <f t="shared" si="35"/>
        <v>0.44000000000000022</v>
      </c>
      <c r="BA30" s="25">
        <f t="shared" si="24"/>
        <v>6.9137872485273519E-2</v>
      </c>
      <c r="BB30" s="25">
        <f t="shared" si="25"/>
        <v>3.5803997097279245E-28</v>
      </c>
      <c r="BC30" s="25"/>
    </row>
    <row r="31" spans="1:62">
      <c r="A31" t="s">
        <v>29</v>
      </c>
      <c r="B31" s="7">
        <v>44950</v>
      </c>
      <c r="C31" t="s">
        <v>81</v>
      </c>
      <c r="D31">
        <v>5</v>
      </c>
      <c r="E31" t="s">
        <v>26</v>
      </c>
      <c r="F31" s="9">
        <v>0</v>
      </c>
      <c r="G31">
        <v>9</v>
      </c>
      <c r="H31">
        <v>10</v>
      </c>
      <c r="I31" s="20">
        <v>19.600000000000001</v>
      </c>
      <c r="J31" s="20">
        <v>12.5</v>
      </c>
      <c r="K31" s="20">
        <v>9.6</v>
      </c>
      <c r="L31" s="21">
        <f t="shared" si="26"/>
        <v>16.05</v>
      </c>
      <c r="M31" s="15">
        <f t="shared" si="15"/>
        <v>1</v>
      </c>
      <c r="N31" s="15">
        <f t="shared" si="15"/>
        <v>0.63775510204081631</v>
      </c>
      <c r="O31" s="15">
        <f t="shared" si="15"/>
        <v>0.48979591836734687</v>
      </c>
      <c r="P31" s="15">
        <f t="shared" si="15"/>
        <v>0.81887755102040816</v>
      </c>
      <c r="Q31" s="16">
        <f t="shared" si="27"/>
        <v>0.32908163265306128</v>
      </c>
      <c r="R31" s="16">
        <f t="shared" si="28"/>
        <v>0.36224489795918369</v>
      </c>
      <c r="S31" s="28">
        <f t="shared" si="8"/>
        <v>0.36224489795918369</v>
      </c>
      <c r="T31" s="28" t="e">
        <f t="shared" si="9"/>
        <v>#N/A</v>
      </c>
      <c r="U31" s="22">
        <f t="shared" si="4"/>
        <v>42.253599322655781</v>
      </c>
      <c r="V31" s="22">
        <f t="shared" si="29"/>
        <v>0.48940380775701348</v>
      </c>
      <c r="W31" s="22">
        <f t="shared" si="10"/>
        <v>0.48940380775701348</v>
      </c>
      <c r="X31" s="22" t="e">
        <f t="shared" si="11"/>
        <v>#N/A</v>
      </c>
      <c r="Y31" s="2">
        <f t="shared" si="30"/>
        <v>362.06000000000006</v>
      </c>
      <c r="Z31" s="2">
        <f t="shared" si="31"/>
        <v>13.788</v>
      </c>
      <c r="AB31" s="24"/>
      <c r="AC31" s="24"/>
      <c r="AD31" s="24"/>
      <c r="AE31" s="24"/>
      <c r="AF31" s="24"/>
      <c r="AG31" s="24"/>
      <c r="AH31" s="24">
        <f t="shared" si="16"/>
        <v>42.5</v>
      </c>
      <c r="AI31" s="2" t="str">
        <f t="shared" si="17"/>
        <v/>
      </c>
      <c r="AJ31" s="24"/>
      <c r="AK31" s="42"/>
      <c r="AL31" s="42"/>
      <c r="AM31" s="24"/>
      <c r="AN31" s="24"/>
      <c r="AO31" s="25">
        <f t="shared" si="33"/>
        <v>34.999999999999964</v>
      </c>
      <c r="AP31" s="25">
        <f t="shared" si="18"/>
        <v>8.8969375538117575E-3</v>
      </c>
      <c r="AQ31" s="25">
        <f t="shared" si="19"/>
        <v>4.0153013121278563E-4</v>
      </c>
      <c r="AS31" s="27">
        <f t="shared" si="20"/>
        <v>0.5</v>
      </c>
      <c r="AT31" s="27" t="str">
        <f t="shared" si="21"/>
        <v/>
      </c>
      <c r="AZ31">
        <f t="shared" si="35"/>
        <v>0.45000000000000023</v>
      </c>
      <c r="BA31" s="25">
        <f t="shared" si="24"/>
        <v>0.18273936293505449</v>
      </c>
      <c r="BB31" s="25">
        <f t="shared" si="25"/>
        <v>3.0031939945055601E-25</v>
      </c>
      <c r="BC31" s="25"/>
    </row>
    <row r="32" spans="1:62">
      <c r="A32" s="5" t="s">
        <v>106</v>
      </c>
      <c r="B32" s="7">
        <v>44953</v>
      </c>
      <c r="C32" t="s">
        <v>81</v>
      </c>
      <c r="D32">
        <v>5</v>
      </c>
      <c r="E32" t="s">
        <v>26</v>
      </c>
      <c r="F32" s="9">
        <v>1</v>
      </c>
      <c r="G32">
        <v>10</v>
      </c>
      <c r="H32">
        <v>10</v>
      </c>
      <c r="I32" s="20">
        <v>24.9</v>
      </c>
      <c r="J32" s="20">
        <v>16.7</v>
      </c>
      <c r="K32" s="20">
        <v>12.3</v>
      </c>
      <c r="L32" s="21">
        <f t="shared" si="26"/>
        <v>20.799999999999997</v>
      </c>
      <c r="M32" s="15">
        <f t="shared" si="15"/>
        <v>1</v>
      </c>
      <c r="N32" s="15">
        <f t="shared" si="15"/>
        <v>0.67068273092369479</v>
      </c>
      <c r="O32" s="15">
        <f t="shared" si="15"/>
        <v>0.49397590361445787</v>
      </c>
      <c r="P32" s="15">
        <f t="shared" si="15"/>
        <v>0.83534136546184734</v>
      </c>
      <c r="Q32" s="16">
        <f t="shared" si="27"/>
        <v>0.34136546184738947</v>
      </c>
      <c r="R32" s="16">
        <f t="shared" si="28"/>
        <v>0.32931726907630521</v>
      </c>
      <c r="S32" s="28">
        <f t="shared" si="8"/>
        <v>0.32931726907630521</v>
      </c>
      <c r="T32" s="28" t="e">
        <f t="shared" si="9"/>
        <v>#N/A</v>
      </c>
      <c r="U32" s="22">
        <f t="shared" si="4"/>
        <v>46.029154804305968</v>
      </c>
      <c r="V32" s="22">
        <f t="shared" si="29"/>
        <v>0.47432082207526705</v>
      </c>
      <c r="W32" s="22">
        <f t="shared" si="10"/>
        <v>0.47432082207526705</v>
      </c>
      <c r="X32" s="22" t="e">
        <f t="shared" si="11"/>
        <v>#N/A</v>
      </c>
      <c r="Y32" s="2">
        <f t="shared" si="30"/>
        <v>591.00999999999988</v>
      </c>
      <c r="Z32" s="2">
        <f t="shared" si="31"/>
        <v>18.114000000000001</v>
      </c>
      <c r="AB32" s="24"/>
      <c r="AC32" s="24"/>
      <c r="AD32" s="24"/>
      <c r="AE32" s="24"/>
      <c r="AF32" s="24"/>
      <c r="AG32" s="24"/>
      <c r="AH32" s="24">
        <f t="shared" si="16"/>
        <v>45</v>
      </c>
      <c r="AI32" s="2" t="str">
        <f t="shared" si="17"/>
        <v/>
      </c>
      <c r="AJ32" s="24"/>
      <c r="AK32" s="42"/>
      <c r="AL32" s="42"/>
      <c r="AM32" s="24"/>
      <c r="AN32" s="24"/>
      <c r="AO32" s="25">
        <f t="shared" si="33"/>
        <v>35.399999999999963</v>
      </c>
      <c r="AP32" s="25">
        <f t="shared" si="18"/>
        <v>1.6896204440355833E-2</v>
      </c>
      <c r="AQ32" s="25">
        <f t="shared" si="19"/>
        <v>1.0823449103722627E-3</v>
      </c>
      <c r="AS32" s="27">
        <f t="shared" si="20"/>
        <v>0.45</v>
      </c>
      <c r="AT32" s="27" t="str">
        <f t="shared" si="21"/>
        <v/>
      </c>
      <c r="AZ32">
        <f t="shared" si="35"/>
        <v>0.46000000000000024</v>
      </c>
      <c r="BA32" s="25">
        <f t="shared" si="24"/>
        <v>0.43669832728407731</v>
      </c>
      <c r="BB32" s="25">
        <f t="shared" si="25"/>
        <v>1.7543235503630666E-22</v>
      </c>
      <c r="BC32" s="25"/>
    </row>
    <row r="33" spans="1:57">
      <c r="A33" t="s">
        <v>143</v>
      </c>
      <c r="B33" s="7">
        <v>44953</v>
      </c>
      <c r="C33" t="s">
        <v>81</v>
      </c>
      <c r="D33">
        <v>6</v>
      </c>
      <c r="E33" t="s">
        <v>26</v>
      </c>
      <c r="F33" s="9">
        <v>0</v>
      </c>
      <c r="I33" s="20">
        <v>23.3</v>
      </c>
      <c r="J33" s="20">
        <v>14.5</v>
      </c>
      <c r="K33" s="20">
        <v>10.6</v>
      </c>
      <c r="L33" s="21">
        <f t="shared" si="26"/>
        <v>18.899999999999999</v>
      </c>
      <c r="M33" s="15">
        <f t="shared" si="15"/>
        <v>1</v>
      </c>
      <c r="N33" s="15">
        <f t="shared" si="15"/>
        <v>0.62231759656652363</v>
      </c>
      <c r="O33" s="15">
        <f t="shared" si="15"/>
        <v>0.45493562231759654</v>
      </c>
      <c r="P33" s="15">
        <f t="shared" si="15"/>
        <v>0.81115879828326176</v>
      </c>
      <c r="Q33" s="16">
        <f t="shared" si="27"/>
        <v>0.35622317596566522</v>
      </c>
      <c r="R33" s="16">
        <f t="shared" si="28"/>
        <v>0.37768240343347637</v>
      </c>
      <c r="S33" s="28">
        <f t="shared" si="8"/>
        <v>0.37768240343347637</v>
      </c>
      <c r="T33" s="28" t="e">
        <f t="shared" si="9"/>
        <v>#N/A</v>
      </c>
      <c r="U33" s="22">
        <f t="shared" si="4"/>
        <v>43.325162009470787</v>
      </c>
      <c r="V33" s="22">
        <f t="shared" si="29"/>
        <v>0.51917140614478419</v>
      </c>
      <c r="W33" s="22">
        <f t="shared" si="10"/>
        <v>0.51917140614478419</v>
      </c>
      <c r="X33" s="22" t="e">
        <f t="shared" si="11"/>
        <v>#N/A</v>
      </c>
      <c r="Y33" s="2">
        <f t="shared" si="30"/>
        <v>517.79</v>
      </c>
      <c r="Z33" s="2">
        <f t="shared" si="31"/>
        <v>16.074999999999999</v>
      </c>
      <c r="AB33" s="24"/>
      <c r="AC33" s="24"/>
      <c r="AD33" s="24"/>
      <c r="AE33" s="24"/>
      <c r="AF33" s="24"/>
      <c r="AG33" s="24"/>
      <c r="AH33" s="24">
        <f t="shared" si="16"/>
        <v>42.5</v>
      </c>
      <c r="AI33" s="2" t="str">
        <f t="shared" si="17"/>
        <v/>
      </c>
      <c r="AJ33" s="24"/>
      <c r="AK33" s="42"/>
      <c r="AL33" s="42"/>
      <c r="AM33" s="24"/>
      <c r="AN33" s="24"/>
      <c r="AO33" s="25">
        <f t="shared" si="33"/>
        <v>35.799999999999962</v>
      </c>
      <c r="AP33" s="25">
        <f t="shared" si="18"/>
        <v>3.1156298327291061E-2</v>
      </c>
      <c r="AQ33" s="25">
        <f t="shared" si="19"/>
        <v>2.7685644035269842E-3</v>
      </c>
      <c r="AS33" s="27">
        <f t="shared" si="20"/>
        <v>0.5</v>
      </c>
      <c r="AT33" s="27" t="str">
        <f t="shared" si="21"/>
        <v/>
      </c>
      <c r="AZ33">
        <f t="shared" si="35"/>
        <v>0.47000000000000025</v>
      </c>
      <c r="BA33" s="25">
        <f t="shared" si="24"/>
        <v>0.94354860503232418</v>
      </c>
      <c r="BB33" s="25">
        <f t="shared" si="25"/>
        <v>7.1369135013774898E-20</v>
      </c>
      <c r="BC33" s="25"/>
    </row>
    <row r="34" spans="1:57">
      <c r="A34" t="s">
        <v>144</v>
      </c>
      <c r="B34" s="7">
        <v>44953</v>
      </c>
      <c r="C34" t="s">
        <v>81</v>
      </c>
      <c r="D34">
        <v>5</v>
      </c>
      <c r="E34" t="s">
        <v>17</v>
      </c>
      <c r="G34">
        <v>8</v>
      </c>
      <c r="H34">
        <v>8</v>
      </c>
      <c r="I34" s="20">
        <v>28.3</v>
      </c>
      <c r="J34" s="20">
        <v>16.8</v>
      </c>
      <c r="K34" s="20">
        <v>13</v>
      </c>
      <c r="L34" s="21">
        <f t="shared" si="26"/>
        <v>22.55</v>
      </c>
      <c r="M34" s="15">
        <f t="shared" si="15"/>
        <v>1</v>
      </c>
      <c r="N34" s="15">
        <f t="shared" si="15"/>
        <v>0.59363957597173145</v>
      </c>
      <c r="O34" s="15">
        <f t="shared" si="15"/>
        <v>0.45936395759717313</v>
      </c>
      <c r="P34" s="15">
        <f t="shared" si="15"/>
        <v>0.79681978798586572</v>
      </c>
      <c r="Q34" s="16">
        <f t="shared" si="27"/>
        <v>0.33745583038869259</v>
      </c>
      <c r="R34" s="16">
        <f t="shared" si="28"/>
        <v>0.40636042402826855</v>
      </c>
      <c r="S34" s="28" t="e">
        <f t="shared" si="8"/>
        <v>#N/A</v>
      </c>
      <c r="T34" s="28">
        <f t="shared" si="9"/>
        <v>0.40636042402826855</v>
      </c>
      <c r="U34" s="22">
        <f t="shared" si="4"/>
        <v>39.707419959988016</v>
      </c>
      <c r="V34" s="22">
        <f t="shared" si="29"/>
        <v>0.52820945815060549</v>
      </c>
      <c r="W34" s="22" t="e">
        <f t="shared" si="10"/>
        <v>#N/A</v>
      </c>
      <c r="X34" s="22">
        <f t="shared" si="11"/>
        <v>0.52820945815060549</v>
      </c>
      <c r="Y34" s="2">
        <f t="shared" si="30"/>
        <v>771.09</v>
      </c>
      <c r="Z34" s="2">
        <f t="shared" si="31"/>
        <v>18.949000000000002</v>
      </c>
      <c r="AB34" s="24"/>
      <c r="AC34" s="24"/>
      <c r="AD34" s="24"/>
      <c r="AE34" s="24"/>
      <c r="AF34" s="24"/>
      <c r="AG34" s="24"/>
      <c r="AH34" s="24" t="str">
        <f t="shared" si="16"/>
        <v/>
      </c>
      <c r="AI34" s="2">
        <f t="shared" si="17"/>
        <v>40</v>
      </c>
      <c r="AJ34" s="24"/>
      <c r="AK34" s="42"/>
      <c r="AL34" s="42"/>
      <c r="AM34" s="24"/>
      <c r="AN34" s="24"/>
      <c r="AO34" s="25">
        <f t="shared" si="33"/>
        <v>36.19999999999996</v>
      </c>
      <c r="AP34" s="25">
        <f t="shared" si="18"/>
        <v>5.5784126365380868E-2</v>
      </c>
      <c r="AQ34" s="25">
        <f t="shared" si="19"/>
        <v>6.720243277116825E-3</v>
      </c>
      <c r="AR34" s="5"/>
      <c r="AS34" s="27" t="str">
        <f t="shared" si="20"/>
        <v/>
      </c>
      <c r="AT34" s="27">
        <f t="shared" si="21"/>
        <v>0.55000000000000004</v>
      </c>
      <c r="AU34" s="5"/>
      <c r="AV34" s="5"/>
      <c r="AW34" s="5"/>
      <c r="AX34" s="23"/>
      <c r="AY34" s="23"/>
      <c r="AZ34">
        <f t="shared" si="35"/>
        <v>0.48000000000000026</v>
      </c>
      <c r="BA34" s="25">
        <f t="shared" si="24"/>
        <v>1.843233487451355</v>
      </c>
      <c r="BB34" s="25">
        <f t="shared" si="25"/>
        <v>2.0220207405505654E-17</v>
      </c>
      <c r="BC34" s="25"/>
      <c r="BD34" s="5"/>
      <c r="BE34" s="5"/>
    </row>
    <row r="35" spans="1:57">
      <c r="A35" t="s">
        <v>145</v>
      </c>
      <c r="B35" s="7">
        <v>44953</v>
      </c>
      <c r="C35" t="s">
        <v>81</v>
      </c>
      <c r="D35">
        <v>6</v>
      </c>
      <c r="E35" t="s">
        <v>26</v>
      </c>
      <c r="F35" s="9">
        <v>0</v>
      </c>
      <c r="I35" s="20">
        <v>24.1</v>
      </c>
      <c r="J35" s="20">
        <v>12.4</v>
      </c>
      <c r="K35" s="20">
        <v>8.9</v>
      </c>
      <c r="L35" s="21">
        <f t="shared" si="26"/>
        <v>18.25</v>
      </c>
      <c r="M35" s="15">
        <f t="shared" si="15"/>
        <v>1</v>
      </c>
      <c r="N35" s="15">
        <f t="shared" si="15"/>
        <v>0.51452282157676343</v>
      </c>
      <c r="O35" s="15">
        <f t="shared" si="15"/>
        <v>0.36929460580912865</v>
      </c>
      <c r="P35" s="15">
        <f t="shared" si="15"/>
        <v>0.75726141078838172</v>
      </c>
      <c r="Q35" s="16">
        <f t="shared" si="27"/>
        <v>0.38796680497925307</v>
      </c>
      <c r="R35" s="16">
        <f t="shared" si="28"/>
        <v>0.48547717842323657</v>
      </c>
      <c r="S35" s="28">
        <f t="shared" si="8"/>
        <v>0.48547717842323657</v>
      </c>
      <c r="T35" s="28" t="e">
        <f t="shared" si="9"/>
        <v>#N/A</v>
      </c>
      <c r="U35" s="22">
        <f t="shared" si="4"/>
        <v>38.629935587603399</v>
      </c>
      <c r="V35" s="22">
        <f t="shared" si="29"/>
        <v>0.62145501247925972</v>
      </c>
      <c r="W35" s="22">
        <f t="shared" si="10"/>
        <v>0.62145501247925972</v>
      </c>
      <c r="X35" s="22" t="e">
        <f t="shared" si="11"/>
        <v>#N/A</v>
      </c>
      <c r="Y35" s="2">
        <f t="shared" si="30"/>
        <v>559.5100000000001</v>
      </c>
      <c r="Z35" s="2">
        <f t="shared" si="31"/>
        <v>14.611999999999998</v>
      </c>
      <c r="AB35" s="24"/>
      <c r="AC35" s="24"/>
      <c r="AD35" s="24"/>
      <c r="AE35" s="24"/>
      <c r="AF35" s="24"/>
      <c r="AG35" s="24"/>
      <c r="AH35" s="24">
        <f t="shared" si="16"/>
        <v>37.5</v>
      </c>
      <c r="AI35" s="2" t="str">
        <f t="shared" si="17"/>
        <v/>
      </c>
      <c r="AJ35" s="24"/>
      <c r="AK35" s="42"/>
      <c r="AL35" s="42"/>
      <c r="AM35" s="24"/>
      <c r="AN35" s="24"/>
      <c r="AO35" s="25">
        <f t="shared" si="33"/>
        <v>36.599999999999959</v>
      </c>
      <c r="AP35" s="25">
        <f t="shared" si="18"/>
        <v>9.6980295437579689E-2</v>
      </c>
      <c r="AQ35" s="25">
        <f t="shared" si="19"/>
        <v>1.5479494434009033E-2</v>
      </c>
      <c r="AR35" s="5"/>
      <c r="AS35" s="27">
        <f t="shared" si="20"/>
        <v>0.60000000000000009</v>
      </c>
      <c r="AT35" s="27" t="str">
        <f t="shared" si="21"/>
        <v/>
      </c>
      <c r="AU35" s="5"/>
      <c r="AV35" s="5"/>
      <c r="AW35" s="5"/>
      <c r="AX35" s="23"/>
      <c r="AY35" s="23"/>
      <c r="AZ35">
        <f t="shared" si="35"/>
        <v>0.49000000000000027</v>
      </c>
      <c r="BA35" s="25">
        <f t="shared" si="24"/>
        <v>3.2555903587297621</v>
      </c>
      <c r="BB35" s="25">
        <f t="shared" si="25"/>
        <v>3.9896538018053474E-15</v>
      </c>
      <c r="BC35" s="25"/>
      <c r="BD35" s="5"/>
      <c r="BE35" s="5"/>
    </row>
    <row r="36" spans="1:57">
      <c r="A36" t="s">
        <v>107</v>
      </c>
      <c r="B36" s="7">
        <v>44953</v>
      </c>
      <c r="C36" t="s">
        <v>81</v>
      </c>
      <c r="D36">
        <v>5</v>
      </c>
      <c r="E36" t="s">
        <v>17</v>
      </c>
      <c r="G36">
        <v>10</v>
      </c>
      <c r="H36">
        <v>10</v>
      </c>
      <c r="I36" s="20">
        <v>23.8</v>
      </c>
      <c r="J36" s="20">
        <v>14.4</v>
      </c>
      <c r="K36" s="20">
        <v>10</v>
      </c>
      <c r="L36" s="21">
        <f t="shared" si="26"/>
        <v>19.100000000000001</v>
      </c>
      <c r="M36" s="15">
        <f t="shared" si="15"/>
        <v>1</v>
      </c>
      <c r="N36" s="15">
        <f t="shared" si="15"/>
        <v>0.60504201680672265</v>
      </c>
      <c r="O36" s="15">
        <f t="shared" si="15"/>
        <v>0.42016806722689076</v>
      </c>
      <c r="P36" s="15">
        <f t="shared" si="15"/>
        <v>0.80252100840336138</v>
      </c>
      <c r="Q36" s="16">
        <f t="shared" si="27"/>
        <v>0.38235294117647062</v>
      </c>
      <c r="R36" s="16">
        <f t="shared" si="28"/>
        <v>0.39495798319327735</v>
      </c>
      <c r="S36" s="28" t="e">
        <f t="shared" si="8"/>
        <v>#N/A</v>
      </c>
      <c r="T36" s="28">
        <f t="shared" si="9"/>
        <v>0.39495798319327735</v>
      </c>
      <c r="U36" s="22">
        <f t="shared" si="4"/>
        <v>44.07096068057794</v>
      </c>
      <c r="V36" s="22">
        <f t="shared" si="29"/>
        <v>0.54971408942685718</v>
      </c>
      <c r="W36" s="22" t="e">
        <f t="shared" si="10"/>
        <v>#N/A</v>
      </c>
      <c r="X36" s="22">
        <f t="shared" si="11"/>
        <v>0.54971408942685718</v>
      </c>
      <c r="Y36" s="2">
        <f t="shared" si="30"/>
        <v>542.04000000000008</v>
      </c>
      <c r="Z36" s="2">
        <f t="shared" si="31"/>
        <v>16.065999999999999</v>
      </c>
      <c r="AB36" s="24"/>
      <c r="AC36" s="24"/>
      <c r="AD36" s="24"/>
      <c r="AE36" s="24"/>
      <c r="AF36" s="24"/>
      <c r="AG36" s="24"/>
      <c r="AH36" s="24" t="str">
        <f t="shared" si="16"/>
        <v/>
      </c>
      <c r="AI36" s="2">
        <f t="shared" si="17"/>
        <v>45</v>
      </c>
      <c r="AJ36" s="24"/>
      <c r="AK36" s="42"/>
      <c r="AL36" s="42"/>
      <c r="AM36" s="24"/>
      <c r="AN36" s="24"/>
      <c r="AO36" s="25">
        <f t="shared" si="33"/>
        <v>36.999999999999957</v>
      </c>
      <c r="AP36" s="25">
        <f t="shared" si="18"/>
        <v>0.16370594610493377</v>
      </c>
      <c r="AQ36" s="25">
        <f t="shared" si="19"/>
        <v>3.3835294628971932E-2</v>
      </c>
      <c r="AS36" s="27" t="str">
        <f t="shared" si="20"/>
        <v/>
      </c>
      <c r="AT36" s="27">
        <f t="shared" si="21"/>
        <v>0.55000000000000004</v>
      </c>
      <c r="AZ36">
        <f t="shared" si="35"/>
        <v>0.50000000000000022</v>
      </c>
      <c r="BA36" s="25">
        <f t="shared" si="24"/>
        <v>5.198912186826206</v>
      </c>
      <c r="BB36" s="25">
        <f t="shared" si="25"/>
        <v>5.4822552333112194E-13</v>
      </c>
      <c r="BC36" s="25"/>
    </row>
    <row r="37" spans="1:57">
      <c r="A37" t="s">
        <v>146</v>
      </c>
      <c r="B37" s="7">
        <v>44953</v>
      </c>
      <c r="C37" t="s">
        <v>81</v>
      </c>
      <c r="D37">
        <v>5</v>
      </c>
      <c r="E37" t="s">
        <v>26</v>
      </c>
      <c r="G37">
        <v>9</v>
      </c>
      <c r="H37">
        <v>9</v>
      </c>
      <c r="I37" s="20">
        <v>23.4</v>
      </c>
      <c r="J37" s="20">
        <v>16</v>
      </c>
      <c r="K37" s="20">
        <v>13.1</v>
      </c>
      <c r="L37" s="21">
        <f t="shared" si="26"/>
        <v>19.7</v>
      </c>
      <c r="M37" s="15">
        <f t="shared" si="15"/>
        <v>1</v>
      </c>
      <c r="N37" s="15">
        <f t="shared" si="15"/>
        <v>0.68376068376068377</v>
      </c>
      <c r="O37" s="15">
        <f t="shared" si="15"/>
        <v>0.55982905982905984</v>
      </c>
      <c r="P37" s="15">
        <f t="shared" si="15"/>
        <v>0.84188034188034189</v>
      </c>
      <c r="Q37" s="16">
        <f t="shared" si="27"/>
        <v>0.28205128205128205</v>
      </c>
      <c r="R37" s="16">
        <f t="shared" si="28"/>
        <v>0.31623931623931623</v>
      </c>
      <c r="S37" s="28">
        <f t="shared" si="8"/>
        <v>0.31623931623931623</v>
      </c>
      <c r="T37" s="28" t="e">
        <f t="shared" si="9"/>
        <v>#N/A</v>
      </c>
      <c r="U37" s="22">
        <f t="shared" si="4"/>
        <v>41.729512076816427</v>
      </c>
      <c r="V37" s="22">
        <f t="shared" si="29"/>
        <v>0.42374547884583041</v>
      </c>
      <c r="W37" s="22">
        <f t="shared" si="10"/>
        <v>0.42374547884583041</v>
      </c>
      <c r="X37" s="22" t="e">
        <f t="shared" si="11"/>
        <v>#N/A</v>
      </c>
      <c r="Y37" s="2">
        <f t="shared" si="30"/>
        <v>518.45999999999992</v>
      </c>
      <c r="Z37" s="2">
        <f t="shared" si="31"/>
        <v>17.350999999999999</v>
      </c>
      <c r="AB37" s="24"/>
      <c r="AC37" s="24"/>
      <c r="AD37" s="24"/>
      <c r="AE37" s="24"/>
      <c r="AF37" s="24"/>
      <c r="AG37" s="24"/>
      <c r="AH37" s="24">
        <f t="shared" si="16"/>
        <v>42.5</v>
      </c>
      <c r="AI37" s="2" t="str">
        <f t="shared" si="17"/>
        <v/>
      </c>
      <c r="AJ37" s="24"/>
      <c r="AK37" s="42"/>
      <c r="AL37" s="42"/>
      <c r="AM37" s="24"/>
      <c r="AN37" s="24"/>
      <c r="AO37" s="25">
        <f t="shared" si="33"/>
        <v>37.399999999999956</v>
      </c>
      <c r="AP37" s="25">
        <f t="shared" si="18"/>
        <v>0.268320274667398</v>
      </c>
      <c r="AQ37" s="25">
        <f t="shared" si="19"/>
        <v>7.0181810182083554E-2</v>
      </c>
      <c r="AS37" s="27">
        <f t="shared" si="20"/>
        <v>0.4</v>
      </c>
      <c r="AT37" s="27" t="str">
        <f t="shared" si="21"/>
        <v/>
      </c>
      <c r="AZ37">
        <f t="shared" si="35"/>
        <v>0.51000000000000023</v>
      </c>
      <c r="BA37" s="25">
        <f t="shared" si="24"/>
        <v>7.5063452708745206</v>
      </c>
      <c r="BB37" s="25">
        <f t="shared" si="25"/>
        <v>5.2463555870120058E-11</v>
      </c>
      <c r="BC37" s="25"/>
    </row>
    <row r="38" spans="1:57">
      <c r="A38" t="s">
        <v>147</v>
      </c>
      <c r="B38" s="7">
        <v>44953</v>
      </c>
      <c r="C38" t="s">
        <v>81</v>
      </c>
      <c r="D38">
        <v>5</v>
      </c>
      <c r="E38" t="s">
        <v>26</v>
      </c>
      <c r="G38">
        <v>9</v>
      </c>
      <c r="H38">
        <v>9</v>
      </c>
      <c r="I38" s="20">
        <v>20.9</v>
      </c>
      <c r="J38" s="20">
        <v>13.5</v>
      </c>
      <c r="K38" s="20">
        <v>10.199999999999999</v>
      </c>
      <c r="L38" s="21">
        <f t="shared" si="26"/>
        <v>17.2</v>
      </c>
      <c r="M38" s="15">
        <f t="shared" si="15"/>
        <v>1</v>
      </c>
      <c r="N38" s="15">
        <f t="shared" si="15"/>
        <v>0.64593301435406703</v>
      </c>
      <c r="O38" s="15">
        <f t="shared" si="15"/>
        <v>0.48803827751196172</v>
      </c>
      <c r="P38" s="15">
        <f t="shared" si="15"/>
        <v>0.82296650717703357</v>
      </c>
      <c r="Q38" s="16">
        <f t="shared" si="27"/>
        <v>0.33492822966507185</v>
      </c>
      <c r="R38" s="16">
        <f t="shared" si="28"/>
        <v>0.35406698564593297</v>
      </c>
      <c r="S38" s="28">
        <f t="shared" si="8"/>
        <v>0.35406698564593297</v>
      </c>
      <c r="T38" s="28" t="e">
        <f t="shared" si="9"/>
        <v>#N/A</v>
      </c>
      <c r="U38" s="22">
        <f t="shared" si="4"/>
        <v>43.408859728805432</v>
      </c>
      <c r="V38" s="22">
        <f t="shared" si="29"/>
        <v>0.48738111304294141</v>
      </c>
      <c r="W38" s="22">
        <f t="shared" si="10"/>
        <v>0.48738111304294141</v>
      </c>
      <c r="X38" s="22" t="e">
        <f t="shared" si="11"/>
        <v>#N/A</v>
      </c>
      <c r="Y38" s="2">
        <f t="shared" si="30"/>
        <v>413.10999999999996</v>
      </c>
      <c r="Z38" s="2">
        <f t="shared" si="31"/>
        <v>14.822999999999999</v>
      </c>
      <c r="AB38" s="24"/>
      <c r="AC38" s="24"/>
      <c r="AD38" s="24"/>
      <c r="AE38" s="24"/>
      <c r="AF38" s="24"/>
      <c r="AG38" s="24"/>
      <c r="AH38" s="24">
        <f t="shared" si="16"/>
        <v>42.5</v>
      </c>
      <c r="AI38" s="2" t="str">
        <f t="shared" si="17"/>
        <v/>
      </c>
      <c r="AJ38" s="24"/>
      <c r="AK38" s="42"/>
      <c r="AL38" s="42"/>
      <c r="AM38" s="24"/>
      <c r="AN38" s="24"/>
      <c r="AO38" s="25">
        <f t="shared" si="33"/>
        <v>37.799999999999955</v>
      </c>
      <c r="AP38" s="25">
        <f t="shared" si="18"/>
        <v>0.42702235374160136</v>
      </c>
      <c r="AQ38" s="25">
        <f t="shared" si="19"/>
        <v>0.1381403594405993</v>
      </c>
      <c r="AS38" s="27">
        <f t="shared" si="20"/>
        <v>0.5</v>
      </c>
      <c r="AT38" s="27" t="str">
        <f t="shared" si="21"/>
        <v/>
      </c>
      <c r="AZ38">
        <f t="shared" si="35"/>
        <v>0.52000000000000024</v>
      </c>
      <c r="BA38" s="25">
        <f t="shared" si="24"/>
        <v>9.7989133742928534</v>
      </c>
      <c r="BB38" s="25">
        <f t="shared" si="25"/>
        <v>3.4964766147305164E-9</v>
      </c>
      <c r="BC38" s="25"/>
    </row>
    <row r="39" spans="1:57">
      <c r="A39" t="s">
        <v>148</v>
      </c>
      <c r="B39" s="7">
        <v>44953</v>
      </c>
      <c r="C39" t="s">
        <v>81</v>
      </c>
      <c r="D39">
        <v>6</v>
      </c>
      <c r="E39" t="s">
        <v>26</v>
      </c>
      <c r="I39" s="20">
        <v>25.4</v>
      </c>
      <c r="J39" s="20">
        <v>13</v>
      </c>
      <c r="K39" s="20">
        <v>9.3000000000000007</v>
      </c>
      <c r="L39" s="21">
        <f t="shared" si="26"/>
        <v>19.2</v>
      </c>
      <c r="M39" s="15">
        <f t="shared" si="15"/>
        <v>1</v>
      </c>
      <c r="N39" s="15">
        <f t="shared" si="15"/>
        <v>0.51181102362204722</v>
      </c>
      <c r="O39" s="15">
        <f t="shared" si="15"/>
        <v>0.36614173228346464</v>
      </c>
      <c r="P39" s="15">
        <f t="shared" si="15"/>
        <v>0.75590551181102361</v>
      </c>
      <c r="Q39" s="16">
        <f t="shared" si="27"/>
        <v>0.38976377952755897</v>
      </c>
      <c r="R39" s="16">
        <f t="shared" si="28"/>
        <v>0.48818897637795278</v>
      </c>
      <c r="S39" s="28">
        <f t="shared" si="8"/>
        <v>0.48818897637795278</v>
      </c>
      <c r="T39" s="28" t="e">
        <f t="shared" si="9"/>
        <v>#N/A</v>
      </c>
      <c r="U39" s="22">
        <f t="shared" si="4"/>
        <v>38.603414788527793</v>
      </c>
      <c r="V39" s="22">
        <f t="shared" si="29"/>
        <v>0.62469535014161981</v>
      </c>
      <c r="W39" s="22">
        <f t="shared" si="10"/>
        <v>0.62469535014161981</v>
      </c>
      <c r="X39" s="22" t="e">
        <f t="shared" si="11"/>
        <v>#N/A</v>
      </c>
      <c r="Y39" s="2">
        <f t="shared" si="30"/>
        <v>622.86</v>
      </c>
      <c r="Z39" s="2">
        <f t="shared" si="31"/>
        <v>15.344999999999999</v>
      </c>
      <c r="AB39" s="24"/>
      <c r="AC39" s="24"/>
      <c r="AD39" s="24"/>
      <c r="AE39" s="24"/>
      <c r="AF39" s="24"/>
      <c r="AG39" s="24"/>
      <c r="AH39" s="24">
        <f t="shared" si="16"/>
        <v>37.5</v>
      </c>
      <c r="AI39" s="2" t="str">
        <f t="shared" si="17"/>
        <v/>
      </c>
      <c r="AJ39" s="24"/>
      <c r="AK39" s="24"/>
      <c r="AL39" s="24"/>
      <c r="AM39" s="24"/>
      <c r="AO39" s="25">
        <f t="shared" si="33"/>
        <v>38.199999999999953</v>
      </c>
      <c r="AP39" s="25">
        <f t="shared" si="18"/>
        <v>0.65986609583113531</v>
      </c>
      <c r="AQ39" s="25">
        <f t="shared" si="19"/>
        <v>0.25802275655163992</v>
      </c>
      <c r="AS39" s="27">
        <f t="shared" si="20"/>
        <v>0.60000000000000009</v>
      </c>
      <c r="AT39" s="27" t="str">
        <f t="shared" si="21"/>
        <v/>
      </c>
      <c r="AZ39">
        <f t="shared" si="35"/>
        <v>0.53000000000000025</v>
      </c>
      <c r="BA39" s="25">
        <f t="shared" si="24"/>
        <v>11.565399165073767</v>
      </c>
      <c r="BB39" s="25">
        <f t="shared" si="25"/>
        <v>1.6228484538976255E-7</v>
      </c>
      <c r="BC39" s="25"/>
    </row>
    <row r="40" spans="1:57">
      <c r="A40" t="s">
        <v>149</v>
      </c>
      <c r="B40" s="7">
        <v>44953</v>
      </c>
      <c r="C40" t="s">
        <v>81</v>
      </c>
      <c r="D40">
        <v>6</v>
      </c>
      <c r="E40" t="s">
        <v>17</v>
      </c>
      <c r="I40" s="20">
        <v>30.7</v>
      </c>
      <c r="J40" s="20">
        <v>16.600000000000001</v>
      </c>
      <c r="K40" s="20">
        <v>9.6</v>
      </c>
      <c r="L40" s="21">
        <f t="shared" si="26"/>
        <v>23.65</v>
      </c>
      <c r="M40" s="15">
        <f t="shared" si="15"/>
        <v>1</v>
      </c>
      <c r="N40" s="15">
        <f t="shared" si="15"/>
        <v>0.54071661237785018</v>
      </c>
      <c r="O40" s="15">
        <f t="shared" si="15"/>
        <v>0.31270358306188922</v>
      </c>
      <c r="P40" s="15">
        <f t="shared" si="15"/>
        <v>0.77035830618892509</v>
      </c>
      <c r="Q40" s="16">
        <f t="shared" si="27"/>
        <v>0.45765472312703587</v>
      </c>
      <c r="R40" s="16">
        <f t="shared" si="28"/>
        <v>0.45928338762214982</v>
      </c>
      <c r="S40" s="28" t="e">
        <f t="shared" si="8"/>
        <v>#N/A</v>
      </c>
      <c r="T40" s="28">
        <f t="shared" si="9"/>
        <v>0.45928338762214982</v>
      </c>
      <c r="U40" s="22">
        <f t="shared" si="4"/>
        <v>44.898231404512657</v>
      </c>
      <c r="V40" s="22">
        <f t="shared" si="29"/>
        <v>0.64837417880893577</v>
      </c>
      <c r="W40" s="22" t="e">
        <f t="shared" si="10"/>
        <v>#N/A</v>
      </c>
      <c r="X40" s="22">
        <f t="shared" si="11"/>
        <v>0.64837417880893577</v>
      </c>
      <c r="Y40" s="2">
        <f t="shared" si="30"/>
        <v>916.29</v>
      </c>
      <c r="Z40" s="2">
        <f t="shared" si="31"/>
        <v>19.071000000000002</v>
      </c>
      <c r="AB40" s="24"/>
      <c r="AC40" s="24"/>
      <c r="AD40" s="24"/>
      <c r="AE40" s="24"/>
      <c r="AF40" s="24"/>
      <c r="AG40" s="24"/>
      <c r="AH40" s="24" t="str">
        <f t="shared" si="16"/>
        <v/>
      </c>
      <c r="AI40" s="2">
        <f t="shared" si="17"/>
        <v>45</v>
      </c>
      <c r="AJ40" s="24"/>
      <c r="AK40" s="24"/>
      <c r="AL40" s="24"/>
      <c r="AM40" s="24"/>
      <c r="AO40" s="25">
        <f t="shared" si="33"/>
        <v>38.599999999999952</v>
      </c>
      <c r="AP40" s="25">
        <f t="shared" si="18"/>
        <v>0.9900773012024735</v>
      </c>
      <c r="AQ40" s="25">
        <f t="shared" si="19"/>
        <v>0.45733754118743974</v>
      </c>
      <c r="AS40" s="27" t="str">
        <f t="shared" si="20"/>
        <v/>
      </c>
      <c r="AT40" s="27">
        <f t="shared" si="21"/>
        <v>0.65</v>
      </c>
      <c r="AZ40">
        <f t="shared" si="35"/>
        <v>0.54000000000000026</v>
      </c>
      <c r="BA40" s="25">
        <f t="shared" si="24"/>
        <v>12.341747621500245</v>
      </c>
      <c r="BB40" s="25">
        <f t="shared" si="25"/>
        <v>5.2456551586843592E-6</v>
      </c>
      <c r="BC40" s="25"/>
    </row>
    <row r="41" spans="1:57">
      <c r="A41" t="s">
        <v>150</v>
      </c>
      <c r="B41" s="7">
        <v>44953</v>
      </c>
      <c r="C41" t="s">
        <v>81</v>
      </c>
      <c r="D41">
        <v>5</v>
      </c>
      <c r="E41" t="s">
        <v>17</v>
      </c>
      <c r="G41">
        <v>10</v>
      </c>
      <c r="H41">
        <v>10</v>
      </c>
      <c r="I41" s="20">
        <v>25.7</v>
      </c>
      <c r="J41" s="20">
        <v>17.5</v>
      </c>
      <c r="K41" s="20">
        <v>13</v>
      </c>
      <c r="L41" s="21">
        <f t="shared" si="26"/>
        <v>21.6</v>
      </c>
      <c r="M41" s="15">
        <f t="shared" si="15"/>
        <v>1</v>
      </c>
      <c r="N41" s="15">
        <f t="shared" si="15"/>
        <v>0.68093385214007784</v>
      </c>
      <c r="O41" s="15">
        <f t="shared" si="15"/>
        <v>0.50583657587548636</v>
      </c>
      <c r="P41" s="15">
        <f t="shared" si="15"/>
        <v>0.84046692607003903</v>
      </c>
      <c r="Q41" s="16">
        <f t="shared" si="27"/>
        <v>0.33463035019455267</v>
      </c>
      <c r="R41" s="16">
        <f t="shared" si="28"/>
        <v>0.31906614785992216</v>
      </c>
      <c r="S41" s="28" t="e">
        <f t="shared" si="8"/>
        <v>#N/A</v>
      </c>
      <c r="T41" s="28">
        <f t="shared" si="9"/>
        <v>0.31906614785992216</v>
      </c>
      <c r="U41" s="22">
        <f t="shared" si="4"/>
        <v>46.363927531602926</v>
      </c>
      <c r="V41" s="22">
        <f t="shared" si="29"/>
        <v>0.46236422653736814</v>
      </c>
      <c r="W41" s="22" t="e">
        <f t="shared" si="10"/>
        <v>#N/A</v>
      </c>
      <c r="X41" s="22">
        <f t="shared" si="11"/>
        <v>0.46236422653736814</v>
      </c>
      <c r="Y41" s="2">
        <f t="shared" si="30"/>
        <v>629.99</v>
      </c>
      <c r="Z41" s="2">
        <f t="shared" si="31"/>
        <v>18.907</v>
      </c>
      <c r="AB41" s="24"/>
      <c r="AC41" s="24"/>
      <c r="AD41" s="24"/>
      <c r="AE41" s="24"/>
      <c r="AF41" s="24"/>
      <c r="AG41" s="24"/>
      <c r="AH41" s="24" t="str">
        <f t="shared" si="16"/>
        <v/>
      </c>
      <c r="AI41" s="2">
        <f t="shared" si="17"/>
        <v>47.5</v>
      </c>
      <c r="AJ41" s="24"/>
      <c r="AK41" s="24"/>
      <c r="AL41" s="24"/>
      <c r="AM41" s="24"/>
      <c r="AO41" s="25">
        <f t="shared" si="33"/>
        <v>38.99999999999995</v>
      </c>
      <c r="AP41" s="25">
        <f t="shared" si="18"/>
        <v>1.4424158217218381</v>
      </c>
      <c r="AQ41" s="25">
        <f t="shared" si="19"/>
        <v>0.76923158327083041</v>
      </c>
      <c r="AS41" s="27" t="str">
        <f t="shared" si="20"/>
        <v/>
      </c>
      <c r="AT41" s="27">
        <f t="shared" si="21"/>
        <v>0.45</v>
      </c>
      <c r="AZ41">
        <f t="shared" si="35"/>
        <v>0.55000000000000027</v>
      </c>
      <c r="BA41" s="25">
        <f t="shared" si="24"/>
        <v>11.907648945240451</v>
      </c>
      <c r="BB41" s="25">
        <f t="shared" si="25"/>
        <v>1.1808532838374868E-4</v>
      </c>
      <c r="BC41" s="25"/>
    </row>
    <row r="42" spans="1:57">
      <c r="A42" t="s">
        <v>151</v>
      </c>
      <c r="B42" s="7">
        <v>44953</v>
      </c>
      <c r="C42" t="s">
        <v>81</v>
      </c>
      <c r="D42">
        <v>6</v>
      </c>
      <c r="E42" t="s">
        <v>17</v>
      </c>
      <c r="I42" s="20">
        <v>39.299999999999997</v>
      </c>
      <c r="J42" s="20">
        <v>22.4</v>
      </c>
      <c r="K42" s="20">
        <v>13.1</v>
      </c>
      <c r="L42" s="21">
        <f t="shared" si="26"/>
        <v>30.849999999999998</v>
      </c>
      <c r="M42" s="15">
        <f t="shared" si="15"/>
        <v>1</v>
      </c>
      <c r="N42" s="15">
        <f t="shared" si="15"/>
        <v>0.56997455470737912</v>
      </c>
      <c r="O42" s="15">
        <f t="shared" si="15"/>
        <v>0.33333333333333337</v>
      </c>
      <c r="P42" s="15">
        <f t="shared" si="15"/>
        <v>0.78498727735368956</v>
      </c>
      <c r="Q42" s="16">
        <f t="shared" si="27"/>
        <v>0.45165394402035619</v>
      </c>
      <c r="R42" s="16">
        <f t="shared" si="28"/>
        <v>0.43002544529262088</v>
      </c>
      <c r="S42" s="28" t="e">
        <f t="shared" si="8"/>
        <v>#N/A</v>
      </c>
      <c r="T42" s="28">
        <f t="shared" si="9"/>
        <v>0.43002544529262088</v>
      </c>
      <c r="U42" s="22">
        <f t="shared" si="4"/>
        <v>46.405242339872522</v>
      </c>
      <c r="V42" s="22">
        <f t="shared" si="29"/>
        <v>0.62362903135458658</v>
      </c>
      <c r="W42" s="22" t="e">
        <f t="shared" si="10"/>
        <v>#N/A</v>
      </c>
      <c r="X42" s="22">
        <f t="shared" si="11"/>
        <v>0.62362903135458658</v>
      </c>
      <c r="Y42" s="2">
        <f t="shared" si="30"/>
        <v>1508.9899999999998</v>
      </c>
      <c r="Z42" s="2">
        <f t="shared" si="31"/>
        <v>25.298000000000002</v>
      </c>
      <c r="AB42" s="24"/>
      <c r="AC42" s="24"/>
      <c r="AD42" s="24"/>
      <c r="AE42" s="24"/>
      <c r="AF42" s="24"/>
      <c r="AG42" s="24"/>
      <c r="AH42" s="24" t="str">
        <f t="shared" si="16"/>
        <v/>
      </c>
      <c r="AI42" s="2">
        <f t="shared" si="17"/>
        <v>47.5</v>
      </c>
      <c r="AJ42" s="24"/>
      <c r="AK42" s="24"/>
      <c r="AL42" s="24"/>
      <c r="AM42" s="24"/>
      <c r="AO42" s="25">
        <f t="shared" si="33"/>
        <v>39.399999999999949</v>
      </c>
      <c r="AP42" s="25">
        <f t="shared" si="18"/>
        <v>2.0404217090254075</v>
      </c>
      <c r="AQ42" s="25">
        <f t="shared" si="19"/>
        <v>1.2277749687992277</v>
      </c>
      <c r="AS42" s="27" t="str">
        <f t="shared" si="20"/>
        <v/>
      </c>
      <c r="AT42" s="27">
        <f t="shared" si="21"/>
        <v>0.60000000000000009</v>
      </c>
      <c r="AZ42">
        <f t="shared" si="35"/>
        <v>0.56000000000000028</v>
      </c>
      <c r="BA42" s="25">
        <f t="shared" si="24"/>
        <v>10.387444358769555</v>
      </c>
      <c r="BB42" s="25">
        <f t="shared" si="25"/>
        <v>1.8512564261034602E-3</v>
      </c>
      <c r="BC42" s="25"/>
    </row>
    <row r="43" spans="1:57">
      <c r="A43" t="s">
        <v>152</v>
      </c>
      <c r="B43" s="7">
        <v>44953</v>
      </c>
      <c r="C43" t="s">
        <v>81</v>
      </c>
      <c r="D43">
        <v>6</v>
      </c>
      <c r="E43" t="s">
        <v>26</v>
      </c>
      <c r="F43" s="9">
        <v>1</v>
      </c>
      <c r="I43" s="20">
        <v>31.9</v>
      </c>
      <c r="J43" s="20">
        <v>19.399999999999999</v>
      </c>
      <c r="K43" s="20">
        <v>13.2</v>
      </c>
      <c r="L43" s="21">
        <f t="shared" si="26"/>
        <v>25.65</v>
      </c>
      <c r="M43" s="15">
        <f t="shared" si="15"/>
        <v>1</v>
      </c>
      <c r="N43" s="15">
        <f t="shared" si="15"/>
        <v>0.60815047021943569</v>
      </c>
      <c r="O43" s="15">
        <f t="shared" si="15"/>
        <v>0.41379310344827586</v>
      </c>
      <c r="P43" s="15">
        <f t="shared" si="15"/>
        <v>0.8040752351097179</v>
      </c>
      <c r="Q43" s="16">
        <f t="shared" si="27"/>
        <v>0.39028213166144204</v>
      </c>
      <c r="R43" s="16">
        <f t="shared" si="28"/>
        <v>0.39184952978056431</v>
      </c>
      <c r="S43" s="28">
        <f t="shared" si="8"/>
        <v>0.39184952978056431</v>
      </c>
      <c r="T43" s="28" t="e">
        <f t="shared" si="9"/>
        <v>#N/A</v>
      </c>
      <c r="U43" s="22">
        <f t="shared" si="4"/>
        <v>44.885178952279766</v>
      </c>
      <c r="V43" s="22">
        <f t="shared" si="29"/>
        <v>0.55305171212414539</v>
      </c>
      <c r="W43" s="22">
        <f t="shared" si="10"/>
        <v>0.55305171212414539</v>
      </c>
      <c r="X43" s="22" t="e">
        <f t="shared" si="11"/>
        <v>#N/A</v>
      </c>
      <c r="Y43" s="2">
        <f t="shared" si="30"/>
        <v>985.00999999999988</v>
      </c>
      <c r="Z43" s="2">
        <f t="shared" si="31"/>
        <v>21.590999999999998</v>
      </c>
      <c r="AB43" s="24"/>
      <c r="AC43" s="24"/>
      <c r="AD43" s="24"/>
      <c r="AE43" s="24"/>
      <c r="AF43" s="24"/>
      <c r="AG43" s="24"/>
      <c r="AH43" s="24">
        <f t="shared" si="16"/>
        <v>45</v>
      </c>
      <c r="AI43" s="2" t="str">
        <f t="shared" si="17"/>
        <v/>
      </c>
      <c r="AJ43" s="24"/>
      <c r="AK43" s="24"/>
      <c r="AL43" s="24"/>
      <c r="AM43" s="24"/>
      <c r="AO43" s="25">
        <f t="shared" si="33"/>
        <v>39.799999999999947</v>
      </c>
      <c r="AP43" s="25">
        <f t="shared" si="18"/>
        <v>2.8025765130774278</v>
      </c>
      <c r="AQ43" s="25">
        <f t="shared" si="19"/>
        <v>1.8596099257555341</v>
      </c>
      <c r="AS43" s="27">
        <f t="shared" si="20"/>
        <v>0.55000000000000004</v>
      </c>
      <c r="AT43" s="27" t="str">
        <f t="shared" si="21"/>
        <v/>
      </c>
      <c r="AZ43">
        <f t="shared" si="35"/>
        <v>0.57000000000000028</v>
      </c>
      <c r="BA43" s="25">
        <f t="shared" si="24"/>
        <v>8.1926560994595086</v>
      </c>
      <c r="BB43" s="25">
        <f t="shared" si="25"/>
        <v>2.0212109832781308E-2</v>
      </c>
      <c r="BC43" s="25"/>
    </row>
    <row r="44" spans="1:57">
      <c r="A44" t="s">
        <v>153</v>
      </c>
      <c r="B44" s="7">
        <v>44953</v>
      </c>
      <c r="C44" t="s">
        <v>81</v>
      </c>
      <c r="D44">
        <v>6</v>
      </c>
      <c r="E44" t="s">
        <v>26</v>
      </c>
      <c r="F44" s="9">
        <v>0</v>
      </c>
      <c r="I44" s="20">
        <v>18.600000000000001</v>
      </c>
      <c r="J44" s="20">
        <v>10.9</v>
      </c>
      <c r="K44" s="20">
        <v>7.8</v>
      </c>
      <c r="L44" s="21">
        <f t="shared" si="26"/>
        <v>14.75</v>
      </c>
      <c r="M44" s="15">
        <f t="shared" si="15"/>
        <v>1</v>
      </c>
      <c r="N44" s="15">
        <f t="shared" si="15"/>
        <v>0.58602150537634401</v>
      </c>
      <c r="O44" s="15">
        <f t="shared" si="15"/>
        <v>0.41935483870967738</v>
      </c>
      <c r="P44" s="15">
        <f t="shared" si="15"/>
        <v>0.793010752688172</v>
      </c>
      <c r="Q44" s="16">
        <f t="shared" si="27"/>
        <v>0.37365591397849462</v>
      </c>
      <c r="R44" s="16">
        <f t="shared" si="28"/>
        <v>0.41397849462365599</v>
      </c>
      <c r="S44" s="28">
        <f t="shared" si="8"/>
        <v>0.41397849462365599</v>
      </c>
      <c r="T44" s="28" t="e">
        <f t="shared" si="9"/>
        <v>#N/A</v>
      </c>
      <c r="U44" s="22">
        <f t="shared" si="4"/>
        <v>42.069327494433111</v>
      </c>
      <c r="V44" s="22">
        <f t="shared" si="29"/>
        <v>0.55767099266679865</v>
      </c>
      <c r="W44" s="22">
        <f t="shared" si="10"/>
        <v>0.55767099266679865</v>
      </c>
      <c r="X44" s="22" t="e">
        <f t="shared" si="11"/>
        <v>#N/A</v>
      </c>
      <c r="Y44" s="2">
        <f t="shared" si="30"/>
        <v>327.26000000000005</v>
      </c>
      <c r="Z44" s="2">
        <f t="shared" si="31"/>
        <v>12.299999999999999</v>
      </c>
      <c r="AB44" s="24"/>
      <c r="AC44" s="24"/>
      <c r="AD44" s="24"/>
      <c r="AE44" s="24"/>
      <c r="AF44" s="24"/>
      <c r="AG44" s="24"/>
      <c r="AH44" s="24">
        <f t="shared" si="16"/>
        <v>42.5</v>
      </c>
      <c r="AI44" s="2" t="str">
        <f t="shared" si="17"/>
        <v/>
      </c>
      <c r="AJ44" s="24"/>
      <c r="AK44" s="24"/>
      <c r="AL44" s="24"/>
      <c r="AM44" s="24"/>
      <c r="AO44" s="25">
        <f t="shared" si="33"/>
        <v>40.199999999999946</v>
      </c>
      <c r="AP44" s="25">
        <f t="shared" si="18"/>
        <v>3.7376885066438787</v>
      </c>
      <c r="AQ44" s="25">
        <f t="shared" si="19"/>
        <v>2.6727993013387277</v>
      </c>
      <c r="AS44" s="27">
        <f t="shared" si="20"/>
        <v>0.55000000000000004</v>
      </c>
      <c r="AT44" s="27" t="str">
        <f t="shared" si="21"/>
        <v/>
      </c>
      <c r="AZ44">
        <f>AZ43+0.01</f>
        <v>0.58000000000000029</v>
      </c>
      <c r="BA44" s="25">
        <f t="shared" si="24"/>
        <v>5.8421683303579464</v>
      </c>
      <c r="BB44" s="25">
        <f t="shared" si="25"/>
        <v>0.15368488379726739</v>
      </c>
      <c r="BC44" s="25"/>
    </row>
    <row r="45" spans="1:57">
      <c r="A45" t="s">
        <v>154</v>
      </c>
      <c r="B45" s="7">
        <v>44953</v>
      </c>
      <c r="C45" t="s">
        <v>81</v>
      </c>
      <c r="D45">
        <v>5</v>
      </c>
      <c r="E45" t="s">
        <v>26</v>
      </c>
      <c r="F45" s="9">
        <v>0</v>
      </c>
      <c r="G45" t="s">
        <v>104</v>
      </c>
      <c r="H45" t="s">
        <v>104</v>
      </c>
      <c r="I45" s="20">
        <v>19.3</v>
      </c>
      <c r="J45" s="20">
        <v>12</v>
      </c>
      <c r="K45" s="20">
        <v>8.8000000000000007</v>
      </c>
      <c r="L45" s="21">
        <f t="shared" si="26"/>
        <v>15.65</v>
      </c>
      <c r="M45" s="15">
        <f t="shared" si="15"/>
        <v>1</v>
      </c>
      <c r="N45" s="15">
        <f t="shared" si="15"/>
        <v>0.62176165803108807</v>
      </c>
      <c r="O45" s="15">
        <f t="shared" si="15"/>
        <v>0.45595854922279794</v>
      </c>
      <c r="P45" s="15">
        <f t="shared" si="15"/>
        <v>0.81088082901554404</v>
      </c>
      <c r="Q45" s="16">
        <f t="shared" si="27"/>
        <v>0.3549222797927461</v>
      </c>
      <c r="R45" s="16">
        <f t="shared" si="28"/>
        <v>0.37823834196891193</v>
      </c>
      <c r="S45" s="28">
        <f t="shared" si="8"/>
        <v>0.37823834196891193</v>
      </c>
      <c r="T45" s="28" t="e">
        <f t="shared" si="9"/>
        <v>#N/A</v>
      </c>
      <c r="U45" s="22">
        <f t="shared" si="4"/>
        <v>43.178486648398888</v>
      </c>
      <c r="V45" s="22">
        <f t="shared" si="29"/>
        <v>0.51868494100819229</v>
      </c>
      <c r="W45" s="22">
        <f t="shared" si="10"/>
        <v>0.51868494100819229</v>
      </c>
      <c r="X45" s="22" t="e">
        <f t="shared" si="11"/>
        <v>#N/A</v>
      </c>
      <c r="Y45" s="2">
        <f t="shared" si="30"/>
        <v>351.69</v>
      </c>
      <c r="Z45" s="2">
        <f t="shared" si="31"/>
        <v>13.309000000000001</v>
      </c>
      <c r="AB45" s="24"/>
      <c r="AC45" s="24"/>
      <c r="AD45" s="24"/>
      <c r="AE45" s="24"/>
      <c r="AF45" s="24"/>
      <c r="AG45" s="24"/>
      <c r="AH45" s="24">
        <f t="shared" si="16"/>
        <v>42.5</v>
      </c>
      <c r="AI45" s="2" t="str">
        <f t="shared" si="17"/>
        <v/>
      </c>
      <c r="AJ45" s="24"/>
      <c r="AK45" s="24"/>
      <c r="AL45" s="24"/>
      <c r="AM45" s="24"/>
      <c r="AO45" s="25">
        <f t="shared" si="33"/>
        <v>40.599999999999945</v>
      </c>
      <c r="AP45" s="25">
        <f t="shared" si="18"/>
        <v>4.840127661270893</v>
      </c>
      <c r="AQ45" s="25">
        <f t="shared" si="19"/>
        <v>3.6454593139269718</v>
      </c>
      <c r="AS45" s="27">
        <f t="shared" si="20"/>
        <v>0.5</v>
      </c>
      <c r="AT45" s="27" t="str">
        <f t="shared" si="21"/>
        <v/>
      </c>
      <c r="AZ45">
        <f t="shared" si="35"/>
        <v>0.5900000000000003</v>
      </c>
      <c r="BA45" s="25">
        <f t="shared" si="24"/>
        <v>3.7666627215165378</v>
      </c>
      <c r="BB45" s="25">
        <f t="shared" si="25"/>
        <v>0.81381387440531461</v>
      </c>
      <c r="BC45" s="25"/>
    </row>
    <row r="46" spans="1:57">
      <c r="A46" t="s">
        <v>155</v>
      </c>
      <c r="B46" s="7">
        <v>44953</v>
      </c>
      <c r="C46" t="s">
        <v>81</v>
      </c>
      <c r="D46">
        <v>6</v>
      </c>
      <c r="E46" t="s">
        <v>17</v>
      </c>
      <c r="I46" s="20">
        <v>31.2</v>
      </c>
      <c r="J46" s="20">
        <v>17.2</v>
      </c>
      <c r="K46" s="20">
        <v>11</v>
      </c>
      <c r="L46" s="21">
        <f t="shared" si="26"/>
        <v>24.2</v>
      </c>
      <c r="M46" s="15">
        <f t="shared" si="15"/>
        <v>1</v>
      </c>
      <c r="N46" s="15">
        <f t="shared" si="15"/>
        <v>0.55128205128205132</v>
      </c>
      <c r="O46" s="15">
        <f t="shared" si="15"/>
        <v>0.35256410256410259</v>
      </c>
      <c r="P46" s="15">
        <f t="shared" si="15"/>
        <v>0.77564102564102566</v>
      </c>
      <c r="Q46" s="16">
        <f t="shared" si="27"/>
        <v>0.42307692307692307</v>
      </c>
      <c r="R46" s="16">
        <f t="shared" si="28"/>
        <v>0.44871794871794868</v>
      </c>
      <c r="S46" s="28" t="e">
        <f t="shared" si="8"/>
        <v>#N/A</v>
      </c>
      <c r="T46" s="28">
        <f t="shared" si="9"/>
        <v>0.44871794871794868</v>
      </c>
      <c r="U46" s="22">
        <f t="shared" si="4"/>
        <v>43.315315682103702</v>
      </c>
      <c r="V46" s="22">
        <f t="shared" si="29"/>
        <v>0.61671863952849704</v>
      </c>
      <c r="W46" s="22" t="e">
        <f t="shared" si="10"/>
        <v>#N/A</v>
      </c>
      <c r="X46" s="22">
        <f t="shared" si="11"/>
        <v>0.61671863952849704</v>
      </c>
      <c r="Y46" s="2">
        <f t="shared" si="30"/>
        <v>945.2399999999999</v>
      </c>
      <c r="Z46" s="2">
        <f t="shared" si="31"/>
        <v>19.706</v>
      </c>
      <c r="AB46" s="24"/>
      <c r="AC46" s="24"/>
      <c r="AD46" s="24"/>
      <c r="AE46" s="24"/>
      <c r="AF46" s="24"/>
      <c r="AG46" s="24"/>
      <c r="AH46" s="24" t="str">
        <f t="shared" si="16"/>
        <v/>
      </c>
      <c r="AI46" s="2">
        <f t="shared" si="17"/>
        <v>42.5</v>
      </c>
      <c r="AJ46" s="24"/>
      <c r="AK46" s="24"/>
      <c r="AL46" s="24"/>
      <c r="AM46" s="24"/>
      <c r="AO46" s="25">
        <f t="shared" si="33"/>
        <v>40.999999999999943</v>
      </c>
      <c r="AP46" s="25">
        <f t="shared" si="18"/>
        <v>6.0858131252570864</v>
      </c>
      <c r="AQ46" s="25">
        <f t="shared" si="19"/>
        <v>4.7182350761416254</v>
      </c>
      <c r="AS46" s="27" t="str">
        <f t="shared" si="20"/>
        <v/>
      </c>
      <c r="AT46" s="27">
        <f t="shared" si="21"/>
        <v>0.60000000000000009</v>
      </c>
      <c r="AZ46">
        <f t="shared" si="35"/>
        <v>0.60000000000000031</v>
      </c>
      <c r="BA46" s="25">
        <f t="shared" si="24"/>
        <v>2.1956986165657857</v>
      </c>
      <c r="BB46" s="25">
        <f t="shared" si="25"/>
        <v>3.0011897836633286</v>
      </c>
      <c r="BC46" s="25"/>
    </row>
    <row r="47" spans="1:57">
      <c r="A47" t="s">
        <v>156</v>
      </c>
      <c r="B47" s="7">
        <v>44953</v>
      </c>
      <c r="C47" t="s">
        <v>81</v>
      </c>
      <c r="D47">
        <v>6</v>
      </c>
      <c r="E47" t="s">
        <v>17</v>
      </c>
      <c r="I47" s="20">
        <v>16.8</v>
      </c>
      <c r="J47" s="20">
        <v>10.9</v>
      </c>
      <c r="K47" s="20">
        <v>8.3000000000000007</v>
      </c>
      <c r="L47" s="21">
        <f t="shared" si="26"/>
        <v>13.850000000000001</v>
      </c>
      <c r="M47" s="15">
        <f t="shared" si="15"/>
        <v>1</v>
      </c>
      <c r="N47" s="15">
        <f t="shared" si="15"/>
        <v>0.64880952380952384</v>
      </c>
      <c r="O47" s="15">
        <f t="shared" si="15"/>
        <v>0.49404761904761907</v>
      </c>
      <c r="P47" s="15">
        <f t="shared" si="15"/>
        <v>0.82440476190476197</v>
      </c>
      <c r="Q47" s="16">
        <f t="shared" si="27"/>
        <v>0.3303571428571429</v>
      </c>
      <c r="R47" s="16">
        <f t="shared" si="28"/>
        <v>0.35119047619047616</v>
      </c>
      <c r="S47" s="28" t="e">
        <f t="shared" si="8"/>
        <v>#N/A</v>
      </c>
      <c r="T47" s="28">
        <f t="shared" si="9"/>
        <v>0.35119047619047616</v>
      </c>
      <c r="U47" s="22">
        <f t="shared" si="4"/>
        <v>43.249145813457162</v>
      </c>
      <c r="V47" s="22">
        <f t="shared" si="29"/>
        <v>0.48215204282842988</v>
      </c>
      <c r="W47" s="22" t="e">
        <f t="shared" si="10"/>
        <v>#N/A</v>
      </c>
      <c r="X47" s="22">
        <f t="shared" si="11"/>
        <v>0.48215204282842988</v>
      </c>
      <c r="Y47" s="2">
        <f t="shared" si="30"/>
        <v>263.04000000000002</v>
      </c>
      <c r="Z47" s="2">
        <f t="shared" si="31"/>
        <v>11.956999999999999</v>
      </c>
      <c r="AB47" s="24"/>
      <c r="AC47" s="24"/>
      <c r="AD47" s="24"/>
      <c r="AE47" s="24"/>
      <c r="AF47" s="24"/>
      <c r="AG47" s="24"/>
      <c r="AH47" s="24" t="str">
        <f t="shared" si="16"/>
        <v/>
      </c>
      <c r="AI47" s="2">
        <f t="shared" si="17"/>
        <v>42.5</v>
      </c>
      <c r="AJ47" s="24"/>
      <c r="AK47" s="24"/>
      <c r="AL47" s="24"/>
      <c r="AM47" s="24"/>
      <c r="AO47" s="25">
        <f t="shared" si="33"/>
        <v>41.399999999999942</v>
      </c>
      <c r="AP47" s="25">
        <f t="shared" si="18"/>
        <v>7.4299945109346259</v>
      </c>
      <c r="AQ47" s="25">
        <f t="shared" si="19"/>
        <v>5.7949315065451197</v>
      </c>
      <c r="AS47" s="27" t="str">
        <f t="shared" si="20"/>
        <v/>
      </c>
      <c r="AT47" s="27">
        <f t="shared" si="21"/>
        <v>0.5</v>
      </c>
      <c r="AZ47">
        <f t="shared" si="35"/>
        <v>0.61000000000000032</v>
      </c>
      <c r="BA47" s="25">
        <f t="shared" si="24"/>
        <v>1.1572363030252788</v>
      </c>
      <c r="BB47" s="25">
        <f t="shared" si="25"/>
        <v>7.707903382095596</v>
      </c>
      <c r="BC47" s="25"/>
    </row>
    <row r="48" spans="1:57">
      <c r="A48" t="s">
        <v>157</v>
      </c>
      <c r="B48" s="7">
        <v>44953</v>
      </c>
      <c r="C48" t="s">
        <v>81</v>
      </c>
      <c r="D48">
        <v>5</v>
      </c>
      <c r="E48" t="s">
        <v>26</v>
      </c>
      <c r="F48" s="9">
        <v>0</v>
      </c>
      <c r="G48">
        <v>10</v>
      </c>
      <c r="H48">
        <v>10</v>
      </c>
      <c r="I48" s="20">
        <v>25.2</v>
      </c>
      <c r="J48" s="20">
        <v>16.8</v>
      </c>
      <c r="K48" s="20">
        <v>12.3</v>
      </c>
      <c r="L48" s="21">
        <f t="shared" si="26"/>
        <v>21</v>
      </c>
      <c r="M48" s="15">
        <f t="shared" si="15"/>
        <v>1</v>
      </c>
      <c r="N48" s="15">
        <f t="shared" si="15"/>
        <v>0.66666666666666674</v>
      </c>
      <c r="O48" s="15">
        <f t="shared" si="15"/>
        <v>0.48809523809523814</v>
      </c>
      <c r="P48" s="15">
        <f t="shared" si="15"/>
        <v>0.83333333333333337</v>
      </c>
      <c r="Q48" s="16">
        <f t="shared" si="27"/>
        <v>0.34523809523809523</v>
      </c>
      <c r="R48" s="16">
        <f t="shared" si="28"/>
        <v>0.33333333333333326</v>
      </c>
      <c r="S48" s="28">
        <f t="shared" si="8"/>
        <v>0.33333333333333326</v>
      </c>
      <c r="T48" s="28" t="e">
        <f t="shared" si="9"/>
        <v>#N/A</v>
      </c>
      <c r="U48" s="22">
        <f t="shared" si="4"/>
        <v>46.005086005254185</v>
      </c>
      <c r="V48" s="22">
        <f t="shared" si="29"/>
        <v>0.47989629454158028</v>
      </c>
      <c r="W48" s="22">
        <f t="shared" si="10"/>
        <v>0.47989629454158028</v>
      </c>
      <c r="X48" s="22" t="e">
        <f t="shared" si="11"/>
        <v>#N/A</v>
      </c>
      <c r="Y48" s="2">
        <f t="shared" si="30"/>
        <v>605.94000000000005</v>
      </c>
      <c r="Z48" s="2">
        <f t="shared" si="31"/>
        <v>18.248999999999999</v>
      </c>
      <c r="AB48" s="24"/>
      <c r="AC48" s="24"/>
      <c r="AD48" s="24"/>
      <c r="AE48" s="24"/>
      <c r="AF48" s="24"/>
      <c r="AG48" s="24"/>
      <c r="AH48" s="24">
        <f t="shared" si="16"/>
        <v>45</v>
      </c>
      <c r="AI48" s="2" t="str">
        <f t="shared" si="17"/>
        <v/>
      </c>
      <c r="AJ48" s="24"/>
      <c r="AK48" s="24"/>
      <c r="AL48" s="24"/>
      <c r="AM48" s="24"/>
      <c r="AO48" s="25">
        <f t="shared" si="33"/>
        <v>41.79999999999994</v>
      </c>
      <c r="AP48" s="25">
        <f t="shared" si="18"/>
        <v>8.8077799890348896</v>
      </c>
      <c r="AQ48" s="25">
        <f t="shared" si="19"/>
        <v>6.7539595043992682</v>
      </c>
      <c r="AS48" s="27">
        <f t="shared" si="20"/>
        <v>0.5</v>
      </c>
      <c r="AT48" s="27" t="str">
        <f t="shared" si="21"/>
        <v/>
      </c>
      <c r="AZ48">
        <f t="shared" si="35"/>
        <v>0.62000000000000033</v>
      </c>
      <c r="BA48" s="25">
        <f t="shared" si="24"/>
        <v>0.55144816610178526</v>
      </c>
      <c r="BB48" s="25">
        <f t="shared" si="25"/>
        <v>13.786483266237621</v>
      </c>
      <c r="BC48" s="25"/>
    </row>
    <row r="49" spans="1:55">
      <c r="A49" t="s">
        <v>158</v>
      </c>
      <c r="B49" s="7">
        <v>44953</v>
      </c>
      <c r="C49" t="s">
        <v>81</v>
      </c>
      <c r="D49">
        <v>6</v>
      </c>
      <c r="E49" t="s">
        <v>26</v>
      </c>
      <c r="F49" s="9">
        <v>0</v>
      </c>
      <c r="I49" s="20">
        <v>19.600000000000001</v>
      </c>
      <c r="J49" s="20">
        <v>14.2</v>
      </c>
      <c r="K49" s="20">
        <v>11</v>
      </c>
      <c r="L49" s="21">
        <f t="shared" si="26"/>
        <v>16.899999999999999</v>
      </c>
      <c r="M49" s="15">
        <f t="shared" si="15"/>
        <v>1</v>
      </c>
      <c r="N49" s="15">
        <f t="shared" si="15"/>
        <v>0.72448979591836726</v>
      </c>
      <c r="O49" s="15">
        <f t="shared" si="15"/>
        <v>0.56122448979591832</v>
      </c>
      <c r="P49" s="15">
        <f t="shared" si="15"/>
        <v>0.86224489795918358</v>
      </c>
      <c r="Q49" s="16">
        <f t="shared" si="27"/>
        <v>0.30102040816326525</v>
      </c>
      <c r="R49" s="16">
        <f t="shared" si="28"/>
        <v>0.27551020408163274</v>
      </c>
      <c r="S49" s="28">
        <f t="shared" si="8"/>
        <v>0.27551020408163274</v>
      </c>
      <c r="T49" s="28" t="e">
        <f t="shared" si="9"/>
        <v>#N/A</v>
      </c>
      <c r="U49" s="22">
        <f t="shared" si="4"/>
        <v>47.533558888394559</v>
      </c>
      <c r="V49" s="22">
        <f t="shared" si="29"/>
        <v>0.40806759082764921</v>
      </c>
      <c r="W49" s="22">
        <f t="shared" si="10"/>
        <v>0.40806759082764921</v>
      </c>
      <c r="X49" s="22" t="e">
        <f t="shared" si="11"/>
        <v>#N/A</v>
      </c>
      <c r="Y49" s="2">
        <f t="shared" si="30"/>
        <v>358.96000000000009</v>
      </c>
      <c r="Z49" s="2">
        <f t="shared" si="31"/>
        <v>15.11</v>
      </c>
      <c r="AB49" s="24"/>
      <c r="AC49" s="24"/>
      <c r="AD49" s="24"/>
      <c r="AE49" s="24"/>
      <c r="AF49" s="24"/>
      <c r="AG49" s="24"/>
      <c r="AH49" s="24">
        <f t="shared" si="16"/>
        <v>47.5</v>
      </c>
      <c r="AI49" s="2" t="str">
        <f t="shared" si="17"/>
        <v/>
      </c>
      <c r="AJ49" s="24"/>
      <c r="AK49" s="24"/>
      <c r="AL49" s="24"/>
      <c r="AM49" s="24"/>
      <c r="AO49" s="25">
        <f t="shared" si="33"/>
        <v>42.199999999999939</v>
      </c>
      <c r="AP49" s="25">
        <f t="shared" si="18"/>
        <v>10.138005141096112</v>
      </c>
      <c r="AQ49" s="25">
        <f t="shared" si="19"/>
        <v>7.4698178274528795</v>
      </c>
      <c r="AS49" s="27">
        <f t="shared" si="20"/>
        <v>0.4</v>
      </c>
      <c r="AT49" s="27" t="str">
        <f t="shared" si="21"/>
        <v/>
      </c>
      <c r="AZ49">
        <f t="shared" si="35"/>
        <v>0.63000000000000034</v>
      </c>
      <c r="BA49" s="25">
        <f t="shared" si="24"/>
        <v>0.23758590433385396</v>
      </c>
      <c r="BB49" s="25">
        <f t="shared" si="25"/>
        <v>17.172960340048405</v>
      </c>
      <c r="BC49" s="25"/>
    </row>
    <row r="50" spans="1:55">
      <c r="A50" t="s">
        <v>159</v>
      </c>
      <c r="B50" s="7">
        <v>44953</v>
      </c>
      <c r="C50" t="s">
        <v>81</v>
      </c>
      <c r="D50">
        <v>6</v>
      </c>
      <c r="E50" t="s">
        <v>17</v>
      </c>
      <c r="I50" s="20">
        <v>20.9</v>
      </c>
      <c r="J50" s="20">
        <v>12.7</v>
      </c>
      <c r="K50" s="20">
        <v>9</v>
      </c>
      <c r="L50" s="21">
        <f t="shared" si="26"/>
        <v>16.799999999999997</v>
      </c>
      <c r="M50" s="15">
        <f t="shared" si="15"/>
        <v>1</v>
      </c>
      <c r="N50" s="15">
        <f t="shared" si="15"/>
        <v>0.60765550239234456</v>
      </c>
      <c r="O50" s="15">
        <f t="shared" si="15"/>
        <v>0.43062200956937802</v>
      </c>
      <c r="P50" s="15">
        <f t="shared" si="15"/>
        <v>0.80382775119617211</v>
      </c>
      <c r="Q50" s="16">
        <f t="shared" si="27"/>
        <v>0.3732057416267941</v>
      </c>
      <c r="R50" s="16">
        <f t="shared" si="28"/>
        <v>0.39234449760765544</v>
      </c>
      <c r="S50" s="28" t="e">
        <f t="shared" si="8"/>
        <v>#N/A</v>
      </c>
      <c r="T50" s="28">
        <f t="shared" si="9"/>
        <v>0.39234449760765544</v>
      </c>
      <c r="U50" s="22">
        <f t="shared" si="4"/>
        <v>43.567903815835336</v>
      </c>
      <c r="V50" s="22">
        <f t="shared" si="29"/>
        <v>0.54149490337971684</v>
      </c>
      <c r="W50" s="22" t="e">
        <f t="shared" si="10"/>
        <v>#N/A</v>
      </c>
      <c r="X50" s="22">
        <f t="shared" si="11"/>
        <v>0.54149490337971684</v>
      </c>
      <c r="Y50" s="2">
        <f t="shared" si="30"/>
        <v>415.10999999999996</v>
      </c>
      <c r="Z50" s="2">
        <f t="shared" si="31"/>
        <v>14.162999999999998</v>
      </c>
      <c r="AB50" s="24"/>
      <c r="AC50" s="24"/>
      <c r="AD50" s="24"/>
      <c r="AE50" s="24"/>
      <c r="AF50" s="24"/>
      <c r="AG50" s="24"/>
      <c r="AH50" s="24" t="str">
        <f t="shared" si="16"/>
        <v/>
      </c>
      <c r="AI50" s="2">
        <f t="shared" si="17"/>
        <v>42.5</v>
      </c>
      <c r="AJ50" s="24"/>
      <c r="AK50" s="24"/>
      <c r="AL50" s="24"/>
      <c r="AM50" s="24"/>
      <c r="AO50" s="25">
        <f t="shared" si="33"/>
        <v>42.599999999999937</v>
      </c>
      <c r="AP50" s="25">
        <f t="shared" si="18"/>
        <v>11.33043649317953</v>
      </c>
      <c r="AQ50" s="25">
        <f t="shared" si="19"/>
        <v>7.8397638578953641</v>
      </c>
      <c r="AS50" s="27" t="str">
        <f t="shared" si="20"/>
        <v/>
      </c>
      <c r="AT50" s="27">
        <f t="shared" si="21"/>
        <v>0.55000000000000004</v>
      </c>
      <c r="AZ50">
        <f t="shared" si="35"/>
        <v>0.64000000000000035</v>
      </c>
      <c r="BA50" s="25">
        <f t="shared" si="24"/>
        <v>9.2548625195534723E-2</v>
      </c>
      <c r="BB50" s="25">
        <f t="shared" si="25"/>
        <v>14.897427101529857</v>
      </c>
      <c r="BC50" s="25"/>
    </row>
    <row r="51" spans="1:55">
      <c r="A51" t="s">
        <v>160</v>
      </c>
      <c r="B51" s="7">
        <v>44953</v>
      </c>
      <c r="C51" t="s">
        <v>81</v>
      </c>
      <c r="D51">
        <v>6</v>
      </c>
      <c r="E51" t="s">
        <v>26</v>
      </c>
      <c r="F51" s="9">
        <v>1</v>
      </c>
      <c r="I51" s="20">
        <v>27.6</v>
      </c>
      <c r="J51" s="20">
        <v>19.100000000000001</v>
      </c>
      <c r="K51" s="20">
        <v>15</v>
      </c>
      <c r="L51" s="21">
        <f t="shared" si="26"/>
        <v>23.35</v>
      </c>
      <c r="M51" s="15">
        <f t="shared" si="15"/>
        <v>1</v>
      </c>
      <c r="N51" s="15">
        <f t="shared" si="15"/>
        <v>0.69202898550724634</v>
      </c>
      <c r="O51" s="15">
        <f t="shared" si="15"/>
        <v>0.54347826086956519</v>
      </c>
      <c r="P51" s="15">
        <f t="shared" si="15"/>
        <v>0.84601449275362317</v>
      </c>
      <c r="Q51" s="16">
        <f t="shared" si="27"/>
        <v>0.30253623188405798</v>
      </c>
      <c r="R51" s="16">
        <f t="shared" si="28"/>
        <v>0.30797101449275366</v>
      </c>
      <c r="S51" s="28">
        <f t="shared" si="8"/>
        <v>0.30797101449275366</v>
      </c>
      <c r="T51" s="28" t="e">
        <f t="shared" si="9"/>
        <v>#N/A</v>
      </c>
      <c r="U51" s="22">
        <f t="shared" si="4"/>
        <v>44.489962023033314</v>
      </c>
      <c r="V51" s="22">
        <f t="shared" si="29"/>
        <v>0.43171091875270007</v>
      </c>
      <c r="W51" s="22">
        <f t="shared" si="10"/>
        <v>0.43171091875270007</v>
      </c>
      <c r="X51" s="22" t="e">
        <f t="shared" si="11"/>
        <v>#N/A</v>
      </c>
      <c r="Y51" s="2">
        <f t="shared" si="30"/>
        <v>727.66000000000008</v>
      </c>
      <c r="Z51" s="2">
        <f t="shared" si="31"/>
        <v>20.598000000000003</v>
      </c>
      <c r="AB51" s="24"/>
      <c r="AC51" s="24"/>
      <c r="AD51" s="24"/>
      <c r="AE51" s="24"/>
      <c r="AF51" s="24"/>
      <c r="AG51" s="24"/>
      <c r="AH51" s="24">
        <f t="shared" si="16"/>
        <v>45</v>
      </c>
      <c r="AI51" s="2" t="str">
        <f t="shared" si="17"/>
        <v/>
      </c>
      <c r="AJ51" s="24"/>
      <c r="AK51" s="24"/>
      <c r="AL51" s="24"/>
      <c r="AM51" s="24"/>
      <c r="AO51" s="25">
        <f t="shared" si="33"/>
        <v>42.999999999999936</v>
      </c>
      <c r="AP51" s="25">
        <f t="shared" si="18"/>
        <v>12.295575451632663</v>
      </c>
      <c r="AQ51" s="25">
        <f t="shared" si="19"/>
        <v>7.8079561456301736</v>
      </c>
      <c r="AS51" s="27">
        <f t="shared" si="20"/>
        <v>0.45</v>
      </c>
      <c r="AT51" s="27" t="str">
        <f t="shared" si="21"/>
        <v/>
      </c>
      <c r="AZ51">
        <f t="shared" si="35"/>
        <v>0.65000000000000036</v>
      </c>
      <c r="BA51" s="25">
        <f t="shared" si="24"/>
        <v>3.25951211146773E-2</v>
      </c>
      <c r="BB51" s="25">
        <f t="shared" si="25"/>
        <v>9.0001926160475794</v>
      </c>
      <c r="BC51" s="25"/>
    </row>
    <row r="52" spans="1:55">
      <c r="A52" t="s">
        <v>161</v>
      </c>
      <c r="B52" s="7">
        <v>44953</v>
      </c>
      <c r="C52" t="s">
        <v>81</v>
      </c>
      <c r="D52">
        <v>6</v>
      </c>
      <c r="E52" t="s">
        <v>26</v>
      </c>
      <c r="F52" s="9">
        <v>1</v>
      </c>
      <c r="I52" s="20">
        <v>21</v>
      </c>
      <c r="J52" s="20">
        <v>14.3</v>
      </c>
      <c r="K52" s="20">
        <v>10.7</v>
      </c>
      <c r="L52" s="21">
        <f t="shared" si="26"/>
        <v>17.649999999999999</v>
      </c>
      <c r="M52" s="15">
        <f t="shared" si="15"/>
        <v>1</v>
      </c>
      <c r="N52" s="15">
        <f t="shared" si="15"/>
        <v>0.68095238095238098</v>
      </c>
      <c r="O52" s="15">
        <f t="shared" si="15"/>
        <v>0.50952380952380949</v>
      </c>
      <c r="P52" s="15">
        <f t="shared" si="15"/>
        <v>0.84047619047619038</v>
      </c>
      <c r="Q52" s="16">
        <f t="shared" si="27"/>
        <v>0.33095238095238089</v>
      </c>
      <c r="R52" s="16">
        <f t="shared" si="28"/>
        <v>0.31904761904761902</v>
      </c>
      <c r="S52" s="28">
        <f t="shared" si="8"/>
        <v>0.31904761904761902</v>
      </c>
      <c r="T52" s="28" t="e">
        <f t="shared" si="9"/>
        <v>#N/A</v>
      </c>
      <c r="U52" s="22">
        <f t="shared" si="4"/>
        <v>46.049255940880073</v>
      </c>
      <c r="V52" s="22">
        <f t="shared" si="29"/>
        <v>0.45969648865094076</v>
      </c>
      <c r="W52" s="22">
        <f t="shared" si="10"/>
        <v>0.45969648865094076</v>
      </c>
      <c r="X52" s="22" t="e">
        <f t="shared" si="11"/>
        <v>#N/A</v>
      </c>
      <c r="Y52" s="2">
        <f t="shared" si="30"/>
        <v>416</v>
      </c>
      <c r="Z52" s="2">
        <f t="shared" si="31"/>
        <v>15.455</v>
      </c>
      <c r="AB52" s="24"/>
      <c r="AC52" s="24"/>
      <c r="AD52" s="24"/>
      <c r="AE52" s="24"/>
      <c r="AF52" s="24"/>
      <c r="AG52" s="24"/>
      <c r="AH52" s="24">
        <f t="shared" si="16"/>
        <v>45</v>
      </c>
      <c r="AI52" s="2" t="str">
        <f t="shared" si="17"/>
        <v/>
      </c>
      <c r="AJ52" s="24"/>
      <c r="AK52" s="24"/>
      <c r="AL52" s="24"/>
      <c r="AM52" s="24"/>
      <c r="AO52" s="25">
        <f t="shared" si="33"/>
        <v>43.399999999999935</v>
      </c>
      <c r="AP52" s="25">
        <f t="shared" si="18"/>
        <v>12.955648657566131</v>
      </c>
      <c r="AQ52" s="25">
        <f t="shared" si="19"/>
        <v>7.3792659426534604</v>
      </c>
      <c r="AS52" s="27">
        <f t="shared" si="20"/>
        <v>0.45</v>
      </c>
      <c r="AT52" s="27" t="str">
        <f t="shared" si="21"/>
        <v/>
      </c>
      <c r="AZ52">
        <f t="shared" si="35"/>
        <v>0.66000000000000036</v>
      </c>
      <c r="BA52" s="25">
        <f t="shared" si="24"/>
        <v>1.0379311668705333E-2</v>
      </c>
      <c r="BB52" s="25">
        <f t="shared" si="25"/>
        <v>3.7867512039397524</v>
      </c>
      <c r="BC52" s="25"/>
    </row>
    <row r="53" spans="1:55">
      <c r="A53" t="s">
        <v>108</v>
      </c>
      <c r="B53" s="7">
        <v>44954</v>
      </c>
      <c r="C53" t="s">
        <v>81</v>
      </c>
      <c r="D53">
        <v>6</v>
      </c>
      <c r="E53" t="s">
        <v>17</v>
      </c>
      <c r="I53" s="20">
        <v>39.4</v>
      </c>
      <c r="J53" s="20">
        <v>23.3</v>
      </c>
      <c r="K53" s="20">
        <v>12.8</v>
      </c>
      <c r="L53" s="21">
        <f t="shared" si="26"/>
        <v>31.35</v>
      </c>
      <c r="M53" s="15">
        <f t="shared" si="15"/>
        <v>1</v>
      </c>
      <c r="N53" s="15">
        <f t="shared" si="15"/>
        <v>0.59137055837563457</v>
      </c>
      <c r="O53" s="15">
        <f t="shared" si="15"/>
        <v>0.32487309644670054</v>
      </c>
      <c r="P53" s="15">
        <f t="shared" si="15"/>
        <v>0.79568527918781728</v>
      </c>
      <c r="Q53" s="16">
        <f t="shared" si="27"/>
        <v>0.47081218274111675</v>
      </c>
      <c r="R53" s="16">
        <f t="shared" si="28"/>
        <v>0.40862944162436543</v>
      </c>
      <c r="S53" s="28" t="e">
        <f t="shared" si="8"/>
        <v>#N/A</v>
      </c>
      <c r="T53" s="28">
        <f t="shared" si="9"/>
        <v>0.40862944162436543</v>
      </c>
      <c r="U53" s="22">
        <f t="shared" si="4"/>
        <v>49.04448557418111</v>
      </c>
      <c r="V53" s="22">
        <f t="shared" si="29"/>
        <v>0.62341168739420938</v>
      </c>
      <c r="W53" s="22" t="e">
        <f t="shared" si="10"/>
        <v>#N/A</v>
      </c>
      <c r="X53" s="22">
        <f t="shared" si="11"/>
        <v>0.62341168739420938</v>
      </c>
      <c r="Y53" s="2">
        <f t="shared" si="30"/>
        <v>1516.26</v>
      </c>
      <c r="Z53" s="2">
        <f t="shared" si="31"/>
        <v>25.945999999999998</v>
      </c>
      <c r="AB53" s="24"/>
      <c r="AC53" s="24"/>
      <c r="AD53" s="24"/>
      <c r="AE53" s="24"/>
      <c r="AF53" s="24"/>
      <c r="AG53" s="24"/>
      <c r="AH53" s="24" t="str">
        <f t="shared" si="16"/>
        <v/>
      </c>
      <c r="AI53" s="2">
        <f t="shared" si="17"/>
        <v>50</v>
      </c>
      <c r="AJ53" s="24"/>
      <c r="AK53" s="24"/>
      <c r="AL53" s="24"/>
      <c r="AM53" s="24"/>
      <c r="AO53" s="25">
        <f t="shared" si="33"/>
        <v>43.799999999999933</v>
      </c>
      <c r="AP53" s="25">
        <f t="shared" si="18"/>
        <v>13.254933375055948</v>
      </c>
      <c r="AQ53" s="25">
        <f t="shared" si="19"/>
        <v>6.6180549987334292</v>
      </c>
      <c r="AS53" s="27" t="str">
        <f t="shared" si="20"/>
        <v/>
      </c>
      <c r="AT53" s="27">
        <f t="shared" si="21"/>
        <v>0.60000000000000009</v>
      </c>
      <c r="AZ53">
        <f t="shared" si="35"/>
        <v>0.67000000000000037</v>
      </c>
      <c r="BA53" s="25">
        <f t="shared" si="24"/>
        <v>2.9882562305289942E-3</v>
      </c>
      <c r="BB53" s="25">
        <f t="shared" si="25"/>
        <v>1.1095737490400854</v>
      </c>
      <c r="BC53" s="25"/>
    </row>
    <row r="54" spans="1:55">
      <c r="A54" t="s">
        <v>162</v>
      </c>
      <c r="B54" s="7">
        <v>44954</v>
      </c>
      <c r="C54" t="s">
        <v>81</v>
      </c>
      <c r="D54">
        <v>5</v>
      </c>
      <c r="E54" t="s">
        <v>17</v>
      </c>
      <c r="G54">
        <v>10</v>
      </c>
      <c r="H54">
        <v>10</v>
      </c>
      <c r="I54" s="20">
        <v>15.5</v>
      </c>
      <c r="J54" s="20">
        <v>9.6999999999999993</v>
      </c>
      <c r="K54" s="20">
        <v>8.9</v>
      </c>
      <c r="L54" s="21">
        <f t="shared" si="26"/>
        <v>12.6</v>
      </c>
      <c r="M54" s="15">
        <f t="shared" si="15"/>
        <v>1</v>
      </c>
      <c r="N54" s="15">
        <f t="shared" si="15"/>
        <v>0.62580645161290316</v>
      </c>
      <c r="O54" s="15">
        <f t="shared" si="15"/>
        <v>0.5741935483870968</v>
      </c>
      <c r="P54" s="15">
        <f t="shared" si="15"/>
        <v>0.81290322580645158</v>
      </c>
      <c r="Q54" s="16">
        <f t="shared" si="27"/>
        <v>0.23870967741935478</v>
      </c>
      <c r="R54" s="16">
        <f t="shared" si="28"/>
        <v>0.37419354838709684</v>
      </c>
      <c r="S54" s="28" t="e">
        <f t="shared" si="8"/>
        <v>#N/A</v>
      </c>
      <c r="T54" s="28">
        <f t="shared" si="9"/>
        <v>0.37419354838709684</v>
      </c>
      <c r="U54" s="22">
        <f t="shared" si="4"/>
        <v>32.535067157935003</v>
      </c>
      <c r="V54" s="22">
        <f t="shared" si="29"/>
        <v>0.44385033710495142</v>
      </c>
      <c r="W54" s="22" t="e">
        <f t="shared" si="10"/>
        <v>#N/A</v>
      </c>
      <c r="X54" s="22">
        <f t="shared" si="11"/>
        <v>0.44385033710495142</v>
      </c>
      <c r="Y54" s="2">
        <f t="shared" si="30"/>
        <v>221.65</v>
      </c>
      <c r="Z54" s="2">
        <f t="shared" si="31"/>
        <v>10.861999999999998</v>
      </c>
      <c r="AB54" s="24"/>
      <c r="AC54" s="24"/>
      <c r="AD54" s="24"/>
      <c r="AE54" s="24"/>
      <c r="AF54" s="24"/>
      <c r="AG54" s="24"/>
      <c r="AH54" s="24" t="str">
        <f t="shared" si="16"/>
        <v/>
      </c>
      <c r="AI54" s="2">
        <f t="shared" si="17"/>
        <v>32.5</v>
      </c>
      <c r="AJ54" s="24"/>
      <c r="AK54" s="24"/>
      <c r="AL54" s="24"/>
      <c r="AM54" s="24"/>
      <c r="AO54" s="25">
        <f t="shared" si="33"/>
        <v>44.199999999999932</v>
      </c>
      <c r="AP54" s="25">
        <f t="shared" si="18"/>
        <v>13.167521034356025</v>
      </c>
      <c r="AQ54" s="25">
        <f t="shared" si="19"/>
        <v>5.632341702500268</v>
      </c>
      <c r="AS54" s="27" t="str">
        <f t="shared" si="20"/>
        <v/>
      </c>
      <c r="AT54" s="27">
        <f t="shared" si="21"/>
        <v>0.45</v>
      </c>
      <c r="AZ54">
        <f t="shared" si="35"/>
        <v>0.68000000000000038</v>
      </c>
      <c r="BA54" s="25">
        <f t="shared" si="24"/>
        <v>7.7785821178682699E-4</v>
      </c>
      <c r="BB54" s="25">
        <f t="shared" si="25"/>
        <v>0.22642272231891047</v>
      </c>
      <c r="BC54" s="25"/>
    </row>
    <row r="55" spans="1:55">
      <c r="A55" t="s">
        <v>163</v>
      </c>
      <c r="B55" s="7">
        <v>44954</v>
      </c>
      <c r="C55" t="s">
        <v>81</v>
      </c>
      <c r="D55">
        <v>6</v>
      </c>
      <c r="E55" t="s">
        <v>26</v>
      </c>
      <c r="F55" s="9">
        <v>0</v>
      </c>
      <c r="I55" s="20">
        <v>30.5</v>
      </c>
      <c r="J55" s="20">
        <v>17.600000000000001</v>
      </c>
      <c r="K55" s="20">
        <v>10.5</v>
      </c>
      <c r="L55" s="21">
        <f t="shared" si="26"/>
        <v>24.05</v>
      </c>
      <c r="M55" s="15">
        <f t="shared" si="15"/>
        <v>1</v>
      </c>
      <c r="N55" s="15">
        <f t="shared" si="15"/>
        <v>0.57704918032786889</v>
      </c>
      <c r="O55" s="15">
        <f t="shared" si="15"/>
        <v>0.34426229508196721</v>
      </c>
      <c r="P55" s="15">
        <f t="shared" si="15"/>
        <v>0.7885245901639345</v>
      </c>
      <c r="Q55" s="16">
        <f t="shared" si="27"/>
        <v>0.4442622950819673</v>
      </c>
      <c r="R55" s="16">
        <f t="shared" si="28"/>
        <v>0.42295081967213111</v>
      </c>
      <c r="S55" s="28">
        <f t="shared" si="8"/>
        <v>0.42295081967213111</v>
      </c>
      <c r="T55" s="28" t="e">
        <f t="shared" si="9"/>
        <v>#N/A</v>
      </c>
      <c r="U55" s="22">
        <f t="shared" si="4"/>
        <v>46.407741487874077</v>
      </c>
      <c r="V55" s="22">
        <f t="shared" si="29"/>
        <v>0.61339741007997794</v>
      </c>
      <c r="W55" s="22">
        <f t="shared" si="10"/>
        <v>0.61339741007997794</v>
      </c>
      <c r="X55" s="22" t="e">
        <f t="shared" si="11"/>
        <v>#N/A</v>
      </c>
      <c r="Y55" s="2">
        <f t="shared" si="30"/>
        <v>902.15</v>
      </c>
      <c r="Z55" s="2">
        <f t="shared" si="31"/>
        <v>19.811999999999998</v>
      </c>
      <c r="AB55" s="24"/>
      <c r="AC55" s="24"/>
      <c r="AD55" s="24"/>
      <c r="AE55" s="24"/>
      <c r="AF55" s="24"/>
      <c r="AG55" s="24"/>
      <c r="AH55" s="24">
        <f t="shared" si="16"/>
        <v>47.5</v>
      </c>
      <c r="AI55" s="2" t="str">
        <f t="shared" si="17"/>
        <v/>
      </c>
      <c r="AJ55" s="24"/>
      <c r="AK55" s="24"/>
      <c r="AL55" s="24"/>
      <c r="AM55" s="24"/>
      <c r="AO55" s="25">
        <f t="shared" si="33"/>
        <v>44.59999999999993</v>
      </c>
      <c r="AP55" s="25">
        <f t="shared" si="18"/>
        <v>12.701019327996779</v>
      </c>
      <c r="AQ55" s="25">
        <f t="shared" si="19"/>
        <v>4.5487181770738827</v>
      </c>
      <c r="AS55" s="27">
        <f t="shared" si="20"/>
        <v>0.60000000000000009</v>
      </c>
      <c r="AT55" s="27" t="str">
        <f t="shared" si="21"/>
        <v/>
      </c>
      <c r="AZ55">
        <f t="shared" si="35"/>
        <v>0.69000000000000039</v>
      </c>
      <c r="BA55" s="25">
        <f t="shared" si="24"/>
        <v>1.8306965988589861E-4</v>
      </c>
      <c r="BB55" s="25">
        <f t="shared" si="25"/>
        <v>3.2177942779343757E-2</v>
      </c>
      <c r="BC55" s="25"/>
    </row>
    <row r="56" spans="1:55">
      <c r="A56" t="s">
        <v>164</v>
      </c>
      <c r="B56" s="7">
        <v>44954</v>
      </c>
      <c r="C56" t="s">
        <v>81</v>
      </c>
      <c r="D56">
        <v>5</v>
      </c>
      <c r="E56" t="s">
        <v>26</v>
      </c>
      <c r="F56" s="9">
        <v>0</v>
      </c>
      <c r="G56">
        <v>10</v>
      </c>
      <c r="H56">
        <v>10</v>
      </c>
      <c r="I56" s="20">
        <v>18.899999999999999</v>
      </c>
      <c r="J56" s="20">
        <v>11.9</v>
      </c>
      <c r="K56" s="20">
        <v>9.3000000000000007</v>
      </c>
      <c r="L56" s="21">
        <f t="shared" si="26"/>
        <v>15.399999999999999</v>
      </c>
      <c r="M56" s="15">
        <f t="shared" si="15"/>
        <v>1</v>
      </c>
      <c r="N56" s="15">
        <f t="shared" si="15"/>
        <v>0.62962962962962965</v>
      </c>
      <c r="O56" s="15">
        <f t="shared" si="15"/>
        <v>0.49206349206349215</v>
      </c>
      <c r="P56" s="15">
        <f t="shared" si="15"/>
        <v>0.81481481481481477</v>
      </c>
      <c r="Q56" s="16">
        <f t="shared" si="27"/>
        <v>0.32275132275132262</v>
      </c>
      <c r="R56" s="16">
        <f t="shared" si="28"/>
        <v>0.37037037037037035</v>
      </c>
      <c r="S56" s="28">
        <f t="shared" si="8"/>
        <v>0.37037037037037035</v>
      </c>
      <c r="T56" s="28" t="e">
        <f t="shared" si="9"/>
        <v>#N/A</v>
      </c>
      <c r="U56" s="22">
        <f t="shared" si="4"/>
        <v>41.06982445427451</v>
      </c>
      <c r="V56" s="22">
        <f t="shared" si="29"/>
        <v>0.491266350960468</v>
      </c>
      <c r="W56" s="22">
        <f t="shared" si="10"/>
        <v>0.491266350960468</v>
      </c>
      <c r="X56" s="22" t="e">
        <f t="shared" si="11"/>
        <v>#N/A</v>
      </c>
      <c r="Y56" s="2">
        <f t="shared" si="30"/>
        <v>336.00999999999993</v>
      </c>
      <c r="Z56" s="2">
        <f t="shared" si="31"/>
        <v>13.187999999999999</v>
      </c>
      <c r="AB56" s="24"/>
      <c r="AC56" s="24"/>
      <c r="AD56" s="24"/>
      <c r="AE56" s="24"/>
      <c r="AF56" s="24"/>
      <c r="AG56" s="24"/>
      <c r="AH56" s="24">
        <f t="shared" si="16"/>
        <v>40</v>
      </c>
      <c r="AI56" s="2" t="str">
        <f t="shared" si="17"/>
        <v/>
      </c>
      <c r="AJ56" s="24"/>
      <c r="AK56" s="24"/>
      <c r="AL56" s="24"/>
      <c r="AM56" s="24"/>
      <c r="AO56" s="25">
        <f t="shared" si="33"/>
        <v>44.999999999999929</v>
      </c>
      <c r="AP56" s="25">
        <f t="shared" si="18"/>
        <v>11.895459357935687</v>
      </c>
      <c r="AQ56" s="25">
        <f t="shared" si="19"/>
        <v>3.4860248511405163</v>
      </c>
      <c r="AS56" s="27">
        <f t="shared" si="20"/>
        <v>0.5</v>
      </c>
      <c r="AT56" s="27" t="str">
        <f t="shared" si="21"/>
        <v/>
      </c>
      <c r="AZ56">
        <f t="shared" si="35"/>
        <v>0.7000000000000004</v>
      </c>
      <c r="BA56" s="25">
        <f t="shared" si="24"/>
        <v>3.8955217643388211E-5</v>
      </c>
      <c r="BB56" s="25">
        <f t="shared" si="25"/>
        <v>3.1847179485727209E-3</v>
      </c>
      <c r="BC56" s="25"/>
    </row>
    <row r="57" spans="1:55">
      <c r="A57" t="s">
        <v>165</v>
      </c>
      <c r="B57" s="7">
        <v>44954</v>
      </c>
      <c r="C57" t="s">
        <v>81</v>
      </c>
      <c r="D57">
        <v>6</v>
      </c>
      <c r="E57" t="s">
        <v>26</v>
      </c>
      <c r="I57" s="20">
        <v>22</v>
      </c>
      <c r="J57" s="20">
        <v>15.8</v>
      </c>
      <c r="K57" s="20">
        <v>12.3</v>
      </c>
      <c r="L57" s="21">
        <f t="shared" si="26"/>
        <v>18.899999999999999</v>
      </c>
      <c r="M57" s="15">
        <f t="shared" si="15"/>
        <v>1</v>
      </c>
      <c r="N57" s="15">
        <f t="shared" si="15"/>
        <v>0.71818181818181825</v>
      </c>
      <c r="O57" s="15">
        <f t="shared" si="15"/>
        <v>0.55909090909090908</v>
      </c>
      <c r="P57" s="15">
        <f t="shared" si="15"/>
        <v>0.85909090909090902</v>
      </c>
      <c r="Q57" s="16">
        <f t="shared" si="27"/>
        <v>0.29999999999999993</v>
      </c>
      <c r="R57" s="16">
        <f t="shared" si="28"/>
        <v>0.28181818181818175</v>
      </c>
      <c r="S57" s="28">
        <f t="shared" si="8"/>
        <v>0.28181818181818175</v>
      </c>
      <c r="T57" s="28" t="e">
        <f t="shared" si="9"/>
        <v>#N/A</v>
      </c>
      <c r="U57" s="22">
        <f t="shared" si="4"/>
        <v>46.789910608246068</v>
      </c>
      <c r="V57" s="22">
        <f t="shared" si="29"/>
        <v>0.41160841536988246</v>
      </c>
      <c r="W57" s="22">
        <f t="shared" si="10"/>
        <v>0.41160841536988246</v>
      </c>
      <c r="X57" s="22" t="e">
        <f t="shared" si="11"/>
        <v>#N/A</v>
      </c>
      <c r="Y57" s="2">
        <f t="shared" si="30"/>
        <v>455.9</v>
      </c>
      <c r="Z57" s="2">
        <f t="shared" si="31"/>
        <v>16.856999999999999</v>
      </c>
      <c r="AB57" s="24"/>
      <c r="AC57" s="24"/>
      <c r="AD57" s="24"/>
      <c r="AE57" s="24"/>
      <c r="AF57" s="24"/>
      <c r="AG57" s="24"/>
      <c r="AH57" s="24">
        <f t="shared" si="16"/>
        <v>47.5</v>
      </c>
      <c r="AI57" s="2" t="str">
        <f t="shared" si="17"/>
        <v/>
      </c>
      <c r="AK57" s="24"/>
      <c r="AL57" s="24"/>
      <c r="AM57" s="25"/>
      <c r="AO57" s="25">
        <f t="shared" si="33"/>
        <v>45.399999999999928</v>
      </c>
      <c r="AP57" s="25">
        <f t="shared" si="18"/>
        <v>10.817625505982518</v>
      </c>
      <c r="AQ57" s="25">
        <f t="shared" si="19"/>
        <v>2.535206503115996</v>
      </c>
      <c r="AS57" s="27">
        <f t="shared" si="20"/>
        <v>0.4</v>
      </c>
      <c r="AT57" s="27" t="str">
        <f t="shared" si="21"/>
        <v/>
      </c>
      <c r="AZ57">
        <f t="shared" si="35"/>
        <v>0.71000000000000041</v>
      </c>
      <c r="BA57" s="25">
        <f t="shared" si="24"/>
        <v>7.4945959166202994E-6</v>
      </c>
      <c r="BB57" s="25">
        <f t="shared" si="25"/>
        <v>2.1951192031801972E-4</v>
      </c>
      <c r="BC57" s="25"/>
    </row>
    <row r="58" spans="1:55">
      <c r="A58" t="s">
        <v>166</v>
      </c>
      <c r="B58" s="7">
        <v>44954</v>
      </c>
      <c r="C58" t="s">
        <v>81</v>
      </c>
      <c r="D58">
        <v>6</v>
      </c>
      <c r="E58" t="s">
        <v>17</v>
      </c>
      <c r="I58" s="20">
        <v>25.5</v>
      </c>
      <c r="J58" s="20">
        <v>13.3</v>
      </c>
      <c r="K58" s="20">
        <v>9.3000000000000007</v>
      </c>
      <c r="L58" s="21">
        <f t="shared" si="26"/>
        <v>19.399999999999999</v>
      </c>
      <c r="M58" s="15">
        <f t="shared" si="15"/>
        <v>1</v>
      </c>
      <c r="N58" s="15">
        <f t="shared" si="15"/>
        <v>0.52156862745098043</v>
      </c>
      <c r="O58" s="15">
        <f t="shared" si="15"/>
        <v>0.36470588235294121</v>
      </c>
      <c r="P58" s="15">
        <f t="shared" si="15"/>
        <v>0.76078431372549016</v>
      </c>
      <c r="Q58" s="16">
        <f t="shared" si="27"/>
        <v>0.39607843137254894</v>
      </c>
      <c r="R58" s="16">
        <f t="shared" si="28"/>
        <v>0.47843137254901957</v>
      </c>
      <c r="S58" s="28" t="e">
        <f t="shared" si="8"/>
        <v>#N/A</v>
      </c>
      <c r="T58" s="28">
        <f t="shared" si="9"/>
        <v>0.47843137254901957</v>
      </c>
      <c r="U58" s="22">
        <f t="shared" si="4"/>
        <v>39.620298400874582</v>
      </c>
      <c r="V58" s="22">
        <f t="shared" si="29"/>
        <v>0.62110764126492413</v>
      </c>
      <c r="W58" s="22" t="e">
        <f t="shared" si="10"/>
        <v>#N/A</v>
      </c>
      <c r="X58" s="22">
        <f t="shared" si="11"/>
        <v>0.62110764126492413</v>
      </c>
      <c r="Y58" s="2">
        <f t="shared" si="30"/>
        <v>627.65000000000009</v>
      </c>
      <c r="Z58" s="2">
        <f t="shared" si="31"/>
        <v>15.582000000000001</v>
      </c>
      <c r="AB58" s="24"/>
      <c r="AC58" s="24"/>
      <c r="AD58" s="24"/>
      <c r="AE58" s="24"/>
      <c r="AF58" s="24"/>
      <c r="AG58" s="24"/>
      <c r="AH58" s="24" t="str">
        <f t="shared" si="16"/>
        <v/>
      </c>
      <c r="AI58" s="2">
        <f t="shared" si="17"/>
        <v>40</v>
      </c>
      <c r="AM58" s="25"/>
      <c r="AO58" s="25">
        <f t="shared" si="33"/>
        <v>45.799999999999926</v>
      </c>
      <c r="AP58" s="25">
        <f t="shared" si="18"/>
        <v>9.551921663755234</v>
      </c>
      <c r="AQ58" s="25">
        <f t="shared" si="19"/>
        <v>1.7495953450006934</v>
      </c>
      <c r="AS58" s="27" t="str">
        <f t="shared" si="20"/>
        <v/>
      </c>
      <c r="AT58" s="27">
        <f t="shared" si="21"/>
        <v>0.60000000000000009</v>
      </c>
      <c r="AZ58">
        <f t="shared" si="35"/>
        <v>0.72000000000000042</v>
      </c>
      <c r="BA58" s="25">
        <f t="shared" si="24"/>
        <v>1.3036593858432322E-6</v>
      </c>
      <c r="BB58" s="25">
        <f t="shared" si="25"/>
        <v>1.0537065401292835E-5</v>
      </c>
      <c r="BC58" s="25"/>
    </row>
    <row r="59" spans="1:55">
      <c r="A59" t="s">
        <v>167</v>
      </c>
      <c r="B59" s="7">
        <v>44954</v>
      </c>
      <c r="C59" t="s">
        <v>81</v>
      </c>
      <c r="D59">
        <v>5</v>
      </c>
      <c r="E59" t="s">
        <v>17</v>
      </c>
      <c r="I59" s="20">
        <v>21.6</v>
      </c>
      <c r="J59" s="20">
        <v>13.8</v>
      </c>
      <c r="K59" s="20">
        <v>10.7</v>
      </c>
      <c r="L59" s="21">
        <f t="shared" si="26"/>
        <v>17.700000000000003</v>
      </c>
      <c r="M59" s="15">
        <f t="shared" si="15"/>
        <v>1</v>
      </c>
      <c r="N59" s="15">
        <f t="shared" si="15"/>
        <v>0.63888888888888884</v>
      </c>
      <c r="O59" s="15">
        <f t="shared" si="15"/>
        <v>0.49537037037037029</v>
      </c>
      <c r="P59" s="15">
        <f t="shared" si="15"/>
        <v>0.81944444444444453</v>
      </c>
      <c r="Q59" s="16">
        <f t="shared" si="27"/>
        <v>0.32407407407407424</v>
      </c>
      <c r="R59" s="16">
        <f t="shared" si="28"/>
        <v>0.36111111111111116</v>
      </c>
      <c r="S59" s="28" t="e">
        <f t="shared" si="8"/>
        <v>#N/A</v>
      </c>
      <c r="T59" s="28">
        <f t="shared" si="9"/>
        <v>0.36111111111111116</v>
      </c>
      <c r="U59" s="22">
        <f t="shared" si="4"/>
        <v>41.905941941082894</v>
      </c>
      <c r="V59" s="22">
        <f t="shared" si="29"/>
        <v>0.48520638913236686</v>
      </c>
      <c r="W59" s="22" t="e">
        <f t="shared" si="10"/>
        <v>#N/A</v>
      </c>
      <c r="X59" s="22">
        <f t="shared" si="11"/>
        <v>0.48520638913236686</v>
      </c>
      <c r="Y59" s="2">
        <f t="shared" si="30"/>
        <v>442.06000000000006</v>
      </c>
      <c r="Z59" s="2">
        <f t="shared" si="31"/>
        <v>15.221000000000002</v>
      </c>
      <c r="AB59" s="24"/>
      <c r="AC59" s="24"/>
      <c r="AD59" s="24"/>
      <c r="AE59" s="24"/>
      <c r="AF59" s="24"/>
      <c r="AG59" s="24"/>
      <c r="AH59" s="24" t="str">
        <f t="shared" si="16"/>
        <v/>
      </c>
      <c r="AI59" s="2" t="str">
        <f t="shared" ref="AI59" si="36">IF(D59=6,MROUND(U59, 2.5),"")</f>
        <v/>
      </c>
      <c r="AK59" s="24"/>
      <c r="AL59" s="24"/>
      <c r="AM59" s="25"/>
      <c r="AO59" s="25">
        <f t="shared" si="33"/>
        <v>46.199999999999925</v>
      </c>
      <c r="AP59" s="25">
        <f t="shared" si="18"/>
        <v>8.189504881250727</v>
      </c>
      <c r="AQ59" s="25">
        <f t="shared" si="19"/>
        <v>1.1457854469047728</v>
      </c>
      <c r="AS59" s="27" t="str">
        <f t="shared" si="20"/>
        <v/>
      </c>
      <c r="AT59" s="27" t="str">
        <f t="shared" ref="AT59" si="37">IF(D59=6,MROUND(V59, 0.05),"")</f>
        <v/>
      </c>
      <c r="AZ59">
        <f t="shared" si="35"/>
        <v>0.73000000000000043</v>
      </c>
      <c r="BA59" s="25">
        <f t="shared" si="24"/>
        <v>2.0502809474748463E-7</v>
      </c>
      <c r="BB59" s="25">
        <f t="shared" si="25"/>
        <v>3.5225379064857734E-7</v>
      </c>
      <c r="BC59" s="25"/>
    </row>
    <row r="60" spans="1:55">
      <c r="AH60" s="24"/>
      <c r="AO60" s="25">
        <f t="shared" si="33"/>
        <v>46.599999999999923</v>
      </c>
      <c r="AP60" s="25">
        <f t="shared" si="18"/>
        <v>6.8176173888986851</v>
      </c>
      <c r="AQ60" s="25">
        <f t="shared" si="19"/>
        <v>0.71204985439090651</v>
      </c>
      <c r="AZ60">
        <f t="shared" si="35"/>
        <v>0.74000000000000044</v>
      </c>
      <c r="BA60" s="25">
        <f t="shared" si="24"/>
        <v>2.9153851869602729E-8</v>
      </c>
      <c r="BB60" s="25">
        <f t="shared" si="25"/>
        <v>8.2009867090187593E-9</v>
      </c>
      <c r="BC60" s="25"/>
    </row>
    <row r="61" spans="1:55">
      <c r="AH61" s="24"/>
      <c r="AO61" s="25">
        <f t="shared" si="33"/>
        <v>46.999999999999922</v>
      </c>
      <c r="AP61" s="25">
        <f t="shared" si="18"/>
        <v>5.5108131681459263</v>
      </c>
      <c r="AQ61" s="25">
        <f t="shared" si="19"/>
        <v>0.41991260838187155</v>
      </c>
      <c r="AZ61">
        <f t="shared" si="35"/>
        <v>0.75000000000000044</v>
      </c>
      <c r="BA61" s="25">
        <f t="shared" si="24"/>
        <v>3.7481057548767704E-9</v>
      </c>
      <c r="BB61" s="25">
        <f t="shared" si="25"/>
        <v>1.3296917489930966E-10</v>
      </c>
      <c r="BC61" s="25"/>
    </row>
    <row r="62" spans="1:55">
      <c r="AH62" s="24"/>
      <c r="AO62" s="25">
        <f t="shared" si="33"/>
        <v>47.39999999999992</v>
      </c>
      <c r="AP62" s="25">
        <f t="shared" si="18"/>
        <v>4.3252063794342703</v>
      </c>
      <c r="AQ62" s="25">
        <f t="shared" si="19"/>
        <v>0.23498970769907362</v>
      </c>
      <c r="AZ62">
        <f>AZ61+0.01</f>
        <v>0.76000000000000045</v>
      </c>
      <c r="BA62" s="25">
        <f t="shared" si="24"/>
        <v>4.3567341139536053E-10</v>
      </c>
      <c r="BB62" s="25">
        <f t="shared" si="25"/>
        <v>1.5014479205019569E-12</v>
      </c>
      <c r="BC62" s="25"/>
    </row>
    <row r="63" spans="1:55">
      <c r="AH63" s="24"/>
      <c r="AO63" s="25">
        <f t="shared" si="33"/>
        <v>47.799999999999919</v>
      </c>
      <c r="AP63" s="25">
        <f t="shared" si="18"/>
        <v>3.2961431658529716</v>
      </c>
      <c r="AQ63" s="25">
        <f t="shared" si="19"/>
        <v>0.12479011357091352</v>
      </c>
      <c r="AZ63">
        <f t="shared" si="35"/>
        <v>0.77000000000000046</v>
      </c>
      <c r="BA63" s="25">
        <f t="shared" si="24"/>
        <v>4.5787149055041076E-11</v>
      </c>
      <c r="BB63" s="25">
        <f t="shared" si="25"/>
        <v>1.1807120750347905E-14</v>
      </c>
      <c r="BC63" s="25"/>
    </row>
    <row r="64" spans="1:55">
      <c r="AH64" s="24"/>
      <c r="AO64" s="25">
        <f t="shared" si="33"/>
        <v>48.199999999999918</v>
      </c>
      <c r="AP64" s="25">
        <f t="shared" si="18"/>
        <v>2.43900888871757</v>
      </c>
      <c r="AQ64" s="25">
        <f t="shared" si="19"/>
        <v>6.2885849469759517E-2</v>
      </c>
      <c r="AZ64">
        <f t="shared" si="35"/>
        <v>0.78000000000000047</v>
      </c>
      <c r="BA64" s="25">
        <f t="shared" si="24"/>
        <v>4.3507033900861018E-12</v>
      </c>
      <c r="BB64" s="25">
        <f t="shared" si="25"/>
        <v>6.4662452114448795E-17</v>
      </c>
      <c r="BC64" s="25"/>
    </row>
    <row r="65" spans="34:55">
      <c r="AH65" s="24"/>
      <c r="AO65" s="25">
        <f t="shared" si="33"/>
        <v>48.599999999999916</v>
      </c>
      <c r="AP65" s="25">
        <f t="shared" si="18"/>
        <v>1.7523820011084856</v>
      </c>
      <c r="AQ65" s="25">
        <f t="shared" si="19"/>
        <v>3.0072331250609711E-2</v>
      </c>
      <c r="AZ65">
        <f t="shared" si="35"/>
        <v>0.79000000000000048</v>
      </c>
      <c r="BA65" s="25">
        <f t="shared" si="24"/>
        <v>3.7377364526353919E-13</v>
      </c>
      <c r="BB65" s="25">
        <f t="shared" si="25"/>
        <v>2.4662367666519807E-19</v>
      </c>
      <c r="BC65" s="25"/>
    </row>
    <row r="66" spans="34:55">
      <c r="AH66" s="24"/>
      <c r="AO66" s="25">
        <f t="shared" si="33"/>
        <v>48.999999999999915</v>
      </c>
      <c r="AP66" s="25">
        <f t="shared" si="18"/>
        <v>1.2225095744071588</v>
      </c>
      <c r="AQ66" s="25">
        <f t="shared" si="19"/>
        <v>1.3646543823566486E-2</v>
      </c>
      <c r="AZ66">
        <f t="shared" si="35"/>
        <v>0.80000000000000049</v>
      </c>
      <c r="BA66" s="25">
        <f t="shared" si="24"/>
        <v>2.903295243147075E-14</v>
      </c>
      <c r="BB66" s="25">
        <f t="shared" si="25"/>
        <v>6.5507616688117287E-22</v>
      </c>
      <c r="BC66" s="25"/>
    </row>
    <row r="67" spans="34:55">
      <c r="AH67" s="24"/>
      <c r="AJ67" s="24"/>
      <c r="AO67" s="25">
        <f t="shared" si="33"/>
        <v>49.399999999999913</v>
      </c>
      <c r="AP67" s="25">
        <f t="shared" si="18"/>
        <v>0.82810201008007456</v>
      </c>
      <c r="AQ67" s="25">
        <f t="shared" si="19"/>
        <v>5.8765125067488317E-3</v>
      </c>
      <c r="AZ67">
        <f t="shared" si="35"/>
        <v>0.8100000000000005</v>
      </c>
      <c r="BA67" s="25">
        <f t="shared" si="24"/>
        <v>2.0389522519332584E-15</v>
      </c>
      <c r="BB67" s="25">
        <f t="shared" si="25"/>
        <v>1.2117785576155697E-24</v>
      </c>
      <c r="BC67" s="25"/>
    </row>
    <row r="68" spans="34:55">
      <c r="AH68" s="24"/>
      <c r="AO68" s="25">
        <f t="shared" si="33"/>
        <v>49.799999999999912</v>
      </c>
      <c r="AP68" s="25">
        <f t="shared" si="18"/>
        <v>0.54465750590622397</v>
      </c>
      <c r="AQ68" s="25">
        <f t="shared" si="19"/>
        <v>2.4013644016750752E-3</v>
      </c>
      <c r="AZ68">
        <f t="shared" si="35"/>
        <v>0.82000000000000051</v>
      </c>
      <c r="BA68" s="25">
        <f t="shared" si="24"/>
        <v>1.2946615057684126E-16</v>
      </c>
      <c r="BB68" s="25">
        <f t="shared" si="25"/>
        <v>1.561094381790157E-27</v>
      </c>
      <c r="BC68" s="25"/>
    </row>
    <row r="69" spans="34:55">
      <c r="AH69" s="24"/>
      <c r="AO69" s="25">
        <f t="shared" si="33"/>
        <v>50.19999999999991</v>
      </c>
      <c r="AP69" s="25">
        <f t="shared" si="18"/>
        <v>0.34783335974500268</v>
      </c>
      <c r="AQ69" s="25">
        <f t="shared" si="19"/>
        <v>9.3118910206821945E-4</v>
      </c>
      <c r="AZ69">
        <f t="shared" si="35"/>
        <v>0.83000000000000052</v>
      </c>
      <c r="BA69" s="25">
        <f t="shared" si="24"/>
        <v>7.4325654390446847E-18</v>
      </c>
      <c r="BB69" s="25">
        <f t="shared" si="25"/>
        <v>1.4005850656295399E-30</v>
      </c>
      <c r="BC69" s="25"/>
    </row>
    <row r="70" spans="34:55">
      <c r="AH70" s="24"/>
      <c r="AO70" s="25">
        <f t="shared" si="33"/>
        <v>50.599999999999909</v>
      </c>
      <c r="AP70" s="25">
        <f t="shared" si="18"/>
        <v>0.21568853208770522</v>
      </c>
      <c r="AQ70" s="25">
        <f t="shared" si="19"/>
        <v>3.4265661002809438E-4</v>
      </c>
      <c r="AZ70">
        <f t="shared" si="35"/>
        <v>0.84000000000000052</v>
      </c>
      <c r="BA70" s="25">
        <f t="shared" si="24"/>
        <v>3.8579320531639938E-19</v>
      </c>
      <c r="BB70" s="25">
        <f t="shared" si="25"/>
        <v>8.7511324028021716E-34</v>
      </c>
      <c r="BC70" s="25"/>
    </row>
    <row r="71" spans="34:55">
      <c r="AH71" s="24"/>
      <c r="AO71" s="25">
        <f t="shared" si="33"/>
        <v>50.999999999999908</v>
      </c>
      <c r="AP71" s="25">
        <f t="shared" ref="AP71:AP84" si="38">$AG$2*(2.71828^(-((AO71-$AH$2)^2)/(2*($AI$2^2))))</f>
        <v>0.12986465387953211</v>
      </c>
      <c r="AQ71" s="25">
        <f t="shared" ref="AQ71:AQ84" si="39">$AJ$2*(2.71828^(-((AO71-$AK$2)^2)/(2*($AL$2^2))))</f>
        <v>1.1965249424779375E-4</v>
      </c>
      <c r="AZ71">
        <f t="shared" si="35"/>
        <v>0.85000000000000053</v>
      </c>
      <c r="BA71" s="25">
        <f t="shared" ref="BA71:BA76" si="40">$AR$2*(2.71828^(-((AZ71-$AS$2)^2)/(2*($AT$2^2))))</f>
        <v>1.8105216981457523E-20</v>
      </c>
      <c r="BB71" s="25">
        <f t="shared" ref="BB71:BB76" si="41">$AU$2*(2.71828^(-((AZ71-$AV$2)^2)/(2*($AW$2^2))))</f>
        <v>3.8079694124403378E-37</v>
      </c>
      <c r="BC71" s="25"/>
    </row>
    <row r="72" spans="34:55">
      <c r="AH72" s="24"/>
      <c r="AO72" s="25">
        <f>AO71+0.4</f>
        <v>51.399999999999906</v>
      </c>
      <c r="AP72" s="25">
        <f t="shared" si="38"/>
        <v>7.5921180864059939E-2</v>
      </c>
      <c r="AQ72" s="25">
        <f t="shared" si="39"/>
        <v>3.9648413257977152E-5</v>
      </c>
      <c r="AZ72">
        <f t="shared" ref="AZ72:AZ76" si="42">AZ71+0.01</f>
        <v>0.86000000000000054</v>
      </c>
      <c r="BA72" s="25">
        <f t="shared" si="40"/>
        <v>7.6822108006661788E-22</v>
      </c>
      <c r="BB72" s="25">
        <f t="shared" si="41"/>
        <v>1.1539768085542424E-40</v>
      </c>
      <c r="BC72" s="25"/>
    </row>
    <row r="73" spans="34:55">
      <c r="AH73" s="24"/>
      <c r="AO73" s="25">
        <f t="shared" ref="AO73:AO75" si="43">AO72+0.4</f>
        <v>51.799999999999905</v>
      </c>
      <c r="AP73" s="25">
        <f t="shared" si="38"/>
        <v>4.3096602183438387E-2</v>
      </c>
      <c r="AQ73" s="25">
        <f t="shared" si="39"/>
        <v>1.246726754560527E-5</v>
      </c>
      <c r="AZ73">
        <f t="shared" si="42"/>
        <v>0.87000000000000055</v>
      </c>
      <c r="BA73" s="25">
        <f t="shared" si="40"/>
        <v>2.9471485902045295E-23</v>
      </c>
      <c r="BB73" s="25">
        <f t="shared" si="41"/>
        <v>2.4354271522927569E-44</v>
      </c>
      <c r="BC73" s="25"/>
    </row>
    <row r="74" spans="34:55">
      <c r="AH74" s="24"/>
      <c r="AO74" s="25">
        <f t="shared" si="43"/>
        <v>52.199999999999903</v>
      </c>
      <c r="AP74" s="25">
        <f t="shared" si="38"/>
        <v>2.375369588165719E-2</v>
      </c>
      <c r="AQ74" s="25">
        <f t="shared" si="39"/>
        <v>3.7201303758710797E-6</v>
      </c>
      <c r="AZ74">
        <f t="shared" si="42"/>
        <v>0.88000000000000056</v>
      </c>
      <c r="BA74" s="25">
        <f t="shared" si="40"/>
        <v>1.0222360016567158E-24</v>
      </c>
      <c r="BB74" s="25">
        <f t="shared" si="41"/>
        <v>3.5795434581786418E-48</v>
      </c>
      <c r="BC74" s="25"/>
    </row>
    <row r="75" spans="34:55">
      <c r="AH75" s="24"/>
      <c r="AO75" s="25">
        <f t="shared" si="43"/>
        <v>52.599999999999902</v>
      </c>
      <c r="AP75" s="25">
        <f t="shared" si="38"/>
        <v>1.2712396713155263E-2</v>
      </c>
      <c r="AQ75" s="25">
        <f t="shared" si="39"/>
        <v>1.0533833617145212E-6</v>
      </c>
      <c r="AZ75">
        <f t="shared" si="42"/>
        <v>0.89000000000000057</v>
      </c>
      <c r="BA75" s="25">
        <f t="shared" si="40"/>
        <v>3.2057794308683484E-26</v>
      </c>
      <c r="BB75" s="25">
        <f t="shared" si="41"/>
        <v>3.6639924348983475E-52</v>
      </c>
      <c r="BC75" s="25"/>
    </row>
    <row r="76" spans="34:55">
      <c r="AH76" s="24"/>
      <c r="AO76" s="25">
        <f>AO75+0.4</f>
        <v>52.999999999999901</v>
      </c>
      <c r="AP76" s="25">
        <f t="shared" si="38"/>
        <v>6.605896534997182E-3</v>
      </c>
      <c r="AQ76" s="25">
        <f t="shared" si="39"/>
        <v>2.8304543908105783E-7</v>
      </c>
      <c r="AZ76">
        <f t="shared" si="42"/>
        <v>0.90000000000000058</v>
      </c>
      <c r="BA76" s="25">
        <f t="shared" si="40"/>
        <v>9.0896975034987024E-28</v>
      </c>
      <c r="BB76" s="25">
        <f t="shared" si="41"/>
        <v>2.6118963004903497E-56</v>
      </c>
      <c r="BC76" s="25"/>
    </row>
    <row r="77" spans="34:55">
      <c r="AH77" s="24"/>
      <c r="AO77" s="25">
        <f t="shared" ref="AO77:AO78" si="44">AO76+0.4</f>
        <v>53.399999999999899</v>
      </c>
      <c r="AP77" s="25">
        <f t="shared" si="38"/>
        <v>3.3330680581414771E-3</v>
      </c>
      <c r="AQ77" s="25">
        <f t="shared" si="39"/>
        <v>7.2171757449703064E-8</v>
      </c>
    </row>
    <row r="78" spans="34:55">
      <c r="AH78" s="24"/>
      <c r="AO78" s="25">
        <f t="shared" si="44"/>
        <v>53.799999999999898</v>
      </c>
      <c r="AP78" s="25">
        <f t="shared" si="38"/>
        <v>1.6329191433960312E-3</v>
      </c>
      <c r="AQ78" s="25">
        <f t="shared" si="39"/>
        <v>1.7463038583401047E-8</v>
      </c>
    </row>
    <row r="79" spans="34:55">
      <c r="AH79" s="24"/>
      <c r="AO79" s="25">
        <f>AO78+0.4</f>
        <v>54.199999999999896</v>
      </c>
      <c r="AP79" s="25">
        <f t="shared" si="38"/>
        <v>7.7677146602837777E-4</v>
      </c>
      <c r="AQ79" s="25">
        <f t="shared" si="39"/>
        <v>4.0097173442328977E-9</v>
      </c>
    </row>
    <row r="80" spans="34:55">
      <c r="AH80" s="24"/>
      <c r="AO80" s="25">
        <f t="shared" ref="AO80:AO84" si="45">AO79+0.4</f>
        <v>54.599999999999895</v>
      </c>
      <c r="AP80" s="25">
        <f t="shared" si="38"/>
        <v>3.5878140939507201E-4</v>
      </c>
      <c r="AQ80" s="25">
        <f t="shared" si="39"/>
        <v>8.7367340860286603E-10</v>
      </c>
    </row>
    <row r="81" spans="34:43">
      <c r="AH81" s="24"/>
      <c r="AO81" s="25">
        <f t="shared" si="45"/>
        <v>54.999999999999893</v>
      </c>
      <c r="AP81" s="25">
        <f t="shared" si="38"/>
        <v>1.6090690589843238E-4</v>
      </c>
      <c r="AQ81" s="25">
        <f t="shared" si="39"/>
        <v>1.8064497652988628E-10</v>
      </c>
    </row>
    <row r="82" spans="34:43">
      <c r="AH82" s="24"/>
      <c r="AO82" s="25">
        <f t="shared" si="45"/>
        <v>55.399999999999892</v>
      </c>
      <c r="AP82" s="25">
        <f t="shared" si="38"/>
        <v>7.0069258317567948E-5</v>
      </c>
      <c r="AQ82" s="25">
        <f t="shared" si="39"/>
        <v>3.5444109802673755E-11</v>
      </c>
    </row>
    <row r="83" spans="34:43">
      <c r="AH83" s="24"/>
      <c r="AO83" s="25">
        <f t="shared" si="45"/>
        <v>55.799999999999891</v>
      </c>
      <c r="AP83" s="25">
        <f t="shared" si="38"/>
        <v>2.962705213277904E-5</v>
      </c>
      <c r="AQ83" s="25">
        <f t="shared" si="39"/>
        <v>6.5993881182942293E-12</v>
      </c>
    </row>
    <row r="84" spans="34:43">
      <c r="AH84" s="24"/>
      <c r="AO84" s="25">
        <f t="shared" si="45"/>
        <v>56.199999999999889</v>
      </c>
      <c r="AP84" s="25">
        <f t="shared" si="38"/>
        <v>1.2163468851548047E-5</v>
      </c>
      <c r="AQ84" s="25">
        <f t="shared" si="39"/>
        <v>1.1660164586532847E-12</v>
      </c>
    </row>
    <row r="85" spans="34:43">
      <c r="AH85" s="24"/>
    </row>
    <row r="86" spans="34:43">
      <c r="AH86" s="24"/>
    </row>
    <row r="87" spans="34:43">
      <c r="AH87" s="24"/>
    </row>
    <row r="88" spans="34:43">
      <c r="AH88" s="24"/>
    </row>
    <row r="89" spans="34:43">
      <c r="AH89" s="24"/>
    </row>
    <row r="90" spans="34:43">
      <c r="AH90" s="24"/>
    </row>
    <row r="91" spans="34:43">
      <c r="AH91" s="24"/>
    </row>
    <row r="92" spans="34:43">
      <c r="AH92" s="24"/>
    </row>
    <row r="93" spans="34:43">
      <c r="AH93" s="24"/>
    </row>
    <row r="94" spans="34:43">
      <c r="AH94" s="24"/>
    </row>
    <row r="95" spans="34:43">
      <c r="AH95" s="24"/>
    </row>
    <row r="96" spans="34:43">
      <c r="AH96" s="24"/>
    </row>
    <row r="97" spans="34:34">
      <c r="AH97" s="24"/>
    </row>
    <row r="98" spans="34:34">
      <c r="AH98" s="24"/>
    </row>
    <row r="99" spans="34:34">
      <c r="AH99" s="24"/>
    </row>
    <row r="100" spans="34:34">
      <c r="AH100" s="24"/>
    </row>
    <row r="101" spans="34:34">
      <c r="AH101" s="24"/>
    </row>
    <row r="102" spans="34:34">
      <c r="AH102" s="24"/>
    </row>
    <row r="103" spans="34:34">
      <c r="AH103" s="24"/>
    </row>
    <row r="104" spans="34:34">
      <c r="AH104" s="24"/>
    </row>
    <row r="105" spans="34:34">
      <c r="AH105" s="24"/>
    </row>
    <row r="106" spans="34:34">
      <c r="AH106" s="24"/>
    </row>
    <row r="107" spans="34:34">
      <c r="AH107" s="24"/>
    </row>
    <row r="108" spans="34:34">
      <c r="AH108" s="24"/>
    </row>
    <row r="109" spans="34:34">
      <c r="AH109" s="24"/>
    </row>
    <row r="110" spans="34:34">
      <c r="AH110" s="24"/>
    </row>
    <row r="111" spans="34:34">
      <c r="AH111" s="24"/>
    </row>
    <row r="112" spans="34:34">
      <c r="AH112" s="24"/>
    </row>
    <row r="113" spans="34:34">
      <c r="AH113" s="24"/>
    </row>
    <row r="114" spans="34:34">
      <c r="AH114" s="24"/>
    </row>
    <row r="115" spans="34:34">
      <c r="AH115" s="24"/>
    </row>
    <row r="116" spans="34:34">
      <c r="AH116" s="24"/>
    </row>
    <row r="117" spans="34:34">
      <c r="AH117" s="24"/>
    </row>
    <row r="118" spans="34:34">
      <c r="AH118" s="24"/>
    </row>
    <row r="119" spans="34:34">
      <c r="AH119" s="24"/>
    </row>
    <row r="120" spans="34:34">
      <c r="AH120" s="24"/>
    </row>
    <row r="121" spans="34:34">
      <c r="AH121" s="24"/>
    </row>
    <row r="122" spans="34:34">
      <c r="AH122" s="24"/>
    </row>
    <row r="123" spans="34:34">
      <c r="AH123" s="24"/>
    </row>
    <row r="124" spans="34:34">
      <c r="AH124" s="24"/>
    </row>
    <row r="125" spans="34:34">
      <c r="AH125" s="24"/>
    </row>
    <row r="126" spans="34:34">
      <c r="AH126" s="24"/>
    </row>
    <row r="127" spans="34:34">
      <c r="AH127" s="24"/>
    </row>
    <row r="128" spans="34:34">
      <c r="AH128" s="24"/>
    </row>
    <row r="129" spans="34:34">
      <c r="AH129" s="24"/>
    </row>
    <row r="130" spans="34:34">
      <c r="AH130" s="24"/>
    </row>
    <row r="131" spans="34:34">
      <c r="AH131" s="24"/>
    </row>
    <row r="132" spans="34:34">
      <c r="AH132" s="24"/>
    </row>
    <row r="133" spans="34:34">
      <c r="AH133" s="24"/>
    </row>
    <row r="134" spans="34:34">
      <c r="AH134" s="24"/>
    </row>
    <row r="135" spans="34:34">
      <c r="AH135" s="24"/>
    </row>
    <row r="136" spans="34:34">
      <c r="AH136" s="24"/>
    </row>
    <row r="137" spans="34:34">
      <c r="AH137" s="24"/>
    </row>
    <row r="138" spans="34:34">
      <c r="AH138" s="24"/>
    </row>
    <row r="139" spans="34:34">
      <c r="AH139" s="24"/>
    </row>
    <row r="140" spans="34:34">
      <c r="AH140" s="24"/>
    </row>
    <row r="141" spans="34:34">
      <c r="AH141" s="24"/>
    </row>
    <row r="142" spans="34:34">
      <c r="AH142" s="24"/>
    </row>
    <row r="143" spans="34:34">
      <c r="AH143" s="24"/>
    </row>
    <row r="144" spans="34:34">
      <c r="AH144" s="24"/>
    </row>
    <row r="145" spans="34:34">
      <c r="AH145" s="24"/>
    </row>
    <row r="146" spans="34:34">
      <c r="AH146" s="24"/>
    </row>
    <row r="147" spans="34:34">
      <c r="AH147" s="24"/>
    </row>
    <row r="148" spans="34:34">
      <c r="AH148" s="24"/>
    </row>
    <row r="149" spans="34:34">
      <c r="AH149" s="24"/>
    </row>
    <row r="150" spans="34:34">
      <c r="AH150" s="24"/>
    </row>
    <row r="151" spans="34:34">
      <c r="AH151" s="24"/>
    </row>
    <row r="152" spans="34:34">
      <c r="AH152" s="24"/>
    </row>
    <row r="153" spans="34:34">
      <c r="AH153" s="24"/>
    </row>
    <row r="154" spans="34:34">
      <c r="AH154" s="24"/>
    </row>
    <row r="155" spans="34:34">
      <c r="AH155" s="24"/>
    </row>
    <row r="156" spans="34:34">
      <c r="AH156" s="24"/>
    </row>
    <row r="157" spans="34:34">
      <c r="AH157" s="24"/>
    </row>
    <row r="158" spans="34:34">
      <c r="AH158" s="24"/>
    </row>
    <row r="159" spans="34:34">
      <c r="AH159" s="24"/>
    </row>
    <row r="160" spans="34:34">
      <c r="AH160" s="24"/>
    </row>
    <row r="161" spans="34:34">
      <c r="AH161" s="24"/>
    </row>
    <row r="162" spans="34:34">
      <c r="AH162" s="24"/>
    </row>
    <row r="163" spans="34:34">
      <c r="AH163" s="24"/>
    </row>
    <row r="164" spans="34:34">
      <c r="AH164" s="24"/>
    </row>
    <row r="165" spans="34:34">
      <c r="AH165" s="24"/>
    </row>
    <row r="166" spans="34:34">
      <c r="AH166" s="24"/>
    </row>
    <row r="167" spans="34:34">
      <c r="AH167" s="24"/>
    </row>
    <row r="168" spans="34:34">
      <c r="AH168" s="24"/>
    </row>
    <row r="169" spans="34:34">
      <c r="AH169" s="24"/>
    </row>
    <row r="170" spans="34:34">
      <c r="AH170" s="24"/>
    </row>
    <row r="171" spans="34:34">
      <c r="AH171" s="24"/>
    </row>
    <row r="172" spans="34:34">
      <c r="AH172" s="24"/>
    </row>
    <row r="173" spans="34:34">
      <c r="AH173" s="24"/>
    </row>
    <row r="174" spans="34:34">
      <c r="AH174" s="24"/>
    </row>
    <row r="175" spans="34:34">
      <c r="AH175" s="24"/>
    </row>
    <row r="176" spans="34:34">
      <c r="AH176" s="24"/>
    </row>
    <row r="177" spans="34:34">
      <c r="AH177" s="24"/>
    </row>
    <row r="178" spans="34:34">
      <c r="AH178" s="24"/>
    </row>
    <row r="179" spans="34:34">
      <c r="AH179" s="24"/>
    </row>
    <row r="180" spans="34:34">
      <c r="AH180" s="24"/>
    </row>
    <row r="181" spans="34:34">
      <c r="AH181" s="24"/>
    </row>
    <row r="182" spans="34:34">
      <c r="AH182" s="24"/>
    </row>
    <row r="183" spans="34:34">
      <c r="AH183" s="24"/>
    </row>
    <row r="184" spans="34:34">
      <c r="AH184" s="24"/>
    </row>
    <row r="185" spans="34:34">
      <c r="AH185" s="24"/>
    </row>
    <row r="186" spans="34:34">
      <c r="AH186" s="24"/>
    </row>
    <row r="187" spans="34:34">
      <c r="AH187" s="24"/>
    </row>
    <row r="188" spans="34:34">
      <c r="AH188" s="24"/>
    </row>
    <row r="189" spans="34:34">
      <c r="AH189" s="24"/>
    </row>
    <row r="190" spans="34:34">
      <c r="AH190" s="24"/>
    </row>
    <row r="191" spans="34:34">
      <c r="AH191" s="24"/>
    </row>
    <row r="192" spans="34:34">
      <c r="AH192" s="24"/>
    </row>
    <row r="193" spans="34:34">
      <c r="AH193" s="24"/>
    </row>
    <row r="194" spans="34:34">
      <c r="AH194" s="24"/>
    </row>
    <row r="195" spans="34:34">
      <c r="AH195" s="24"/>
    </row>
    <row r="196" spans="34:34">
      <c r="AH196" s="24"/>
    </row>
    <row r="197" spans="34:34">
      <c r="AH197" s="24"/>
    </row>
    <row r="198" spans="34:34">
      <c r="AH198" s="24"/>
    </row>
    <row r="199" spans="34:34">
      <c r="AH199" s="24"/>
    </row>
    <row r="200" spans="34:34">
      <c r="AH200" s="2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zoomScale="110" zoomScaleNormal="110" workbookViewId="0">
      <selection activeCell="V28" sqref="V28"/>
    </sheetView>
  </sheetViews>
  <sheetFormatPr defaultRowHeight="14.4"/>
  <cols>
    <col min="2" max="2" width="5.33203125" customWidth="1"/>
  </cols>
  <sheetData>
    <row r="1" spans="1:14">
      <c r="A1" t="s">
        <v>0</v>
      </c>
      <c r="B1" t="s">
        <v>1</v>
      </c>
      <c r="C1" s="6" t="s">
        <v>6</v>
      </c>
      <c r="D1" t="s">
        <v>85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86</v>
      </c>
      <c r="L1" t="s">
        <v>87</v>
      </c>
      <c r="N1" s="8" t="s">
        <v>83</v>
      </c>
    </row>
    <row r="2" spans="1:14">
      <c r="A2" t="s">
        <v>5</v>
      </c>
      <c r="B2">
        <v>5</v>
      </c>
      <c r="C2" s="6">
        <v>22.5</v>
      </c>
      <c r="D2">
        <f t="shared" ref="D2:D27" si="0">(C2-MIN(C:C))/(MAX(C:C)-MIN(C:C))</f>
        <v>0.23737373737373732</v>
      </c>
      <c r="F2">
        <v>0</v>
      </c>
      <c r="G2">
        <f t="array" ref="G2:G14">FREQUENCY(D2:D13,F2:F14)</f>
        <v>1</v>
      </c>
      <c r="H2">
        <f t="array" ref="H2:H14">FREQUENCY(D14:D27,F2:F14)</f>
        <v>0</v>
      </c>
      <c r="I2" s="2">
        <f>F2</f>
        <v>0</v>
      </c>
      <c r="J2" s="2">
        <f>ROUNDUP(I2*(MAX(C:C)-MIN(C:C))+MIN(C:C), 0)</f>
        <v>18</v>
      </c>
      <c r="K2" s="2">
        <f>ROUNDUP(0.507*J2+2.742, 0)</f>
        <v>12</v>
      </c>
      <c r="L2" s="2">
        <f>K2-4</f>
        <v>8</v>
      </c>
      <c r="N2" s="8" t="s">
        <v>84</v>
      </c>
    </row>
    <row r="3" spans="1:14">
      <c r="A3" t="s">
        <v>18</v>
      </c>
      <c r="B3">
        <v>5</v>
      </c>
      <c r="C3" s="6">
        <v>22.5</v>
      </c>
      <c r="D3">
        <f t="shared" si="0"/>
        <v>0.23737373737373732</v>
      </c>
      <c r="F3">
        <f>F2+(1/12)</f>
        <v>8.3333333333333329E-2</v>
      </c>
      <c r="G3">
        <v>1</v>
      </c>
      <c r="H3">
        <v>0</v>
      </c>
      <c r="I3" s="2">
        <f t="shared" ref="I3:I14" si="1">F3</f>
        <v>8.3333333333333329E-2</v>
      </c>
      <c r="J3" s="2">
        <f t="shared" ref="J3:J14" si="2">ROUNDUP(I3*(MAX(C:C)-MIN(C:C))+MIN(C:C), 0)</f>
        <v>20</v>
      </c>
      <c r="K3" s="2">
        <f t="shared" ref="K3:K14" si="3">ROUNDUP(0.507*J3+2.742, 0)</f>
        <v>13</v>
      </c>
      <c r="L3" s="2">
        <f t="shared" ref="L3:L14" si="4">K3-4</f>
        <v>9</v>
      </c>
    </row>
    <row r="4" spans="1:14">
      <c r="A4" t="s">
        <v>58</v>
      </c>
      <c r="B4">
        <v>5</v>
      </c>
      <c r="C4" s="6">
        <v>22.2</v>
      </c>
      <c r="D4">
        <f t="shared" si="0"/>
        <v>0.22222222222222215</v>
      </c>
      <c r="F4">
        <f t="shared" ref="F4:F14" si="5">F3+(1/12)</f>
        <v>0.16666666666666666</v>
      </c>
      <c r="G4">
        <v>4</v>
      </c>
      <c r="H4">
        <v>1</v>
      </c>
      <c r="I4" s="2">
        <f t="shared" si="1"/>
        <v>0.16666666666666666</v>
      </c>
      <c r="J4" s="2">
        <f t="shared" si="2"/>
        <v>22</v>
      </c>
      <c r="K4" s="2">
        <f t="shared" si="3"/>
        <v>14</v>
      </c>
      <c r="L4" s="2">
        <f t="shared" si="4"/>
        <v>10</v>
      </c>
    </row>
    <row r="5" spans="1:14">
      <c r="A5" t="s">
        <v>59</v>
      </c>
      <c r="B5">
        <v>5</v>
      </c>
      <c r="C5" s="6">
        <v>25.2</v>
      </c>
      <c r="D5">
        <f t="shared" si="0"/>
        <v>0.37373737373737365</v>
      </c>
      <c r="F5">
        <f t="shared" si="5"/>
        <v>0.25</v>
      </c>
      <c r="G5">
        <v>4</v>
      </c>
      <c r="H5">
        <v>2</v>
      </c>
      <c r="I5" s="2">
        <f t="shared" si="1"/>
        <v>0.25</v>
      </c>
      <c r="J5" s="2">
        <f t="shared" si="2"/>
        <v>23</v>
      </c>
      <c r="K5" s="2">
        <f t="shared" si="3"/>
        <v>15</v>
      </c>
      <c r="L5" s="2">
        <f t="shared" si="4"/>
        <v>11</v>
      </c>
    </row>
    <row r="6" spans="1:14">
      <c r="A6" t="s">
        <v>64</v>
      </c>
      <c r="B6">
        <v>5</v>
      </c>
      <c r="C6" s="6">
        <v>26</v>
      </c>
      <c r="D6">
        <f t="shared" si="0"/>
        <v>0.41414141414141409</v>
      </c>
      <c r="F6">
        <f t="shared" si="5"/>
        <v>0.33333333333333331</v>
      </c>
      <c r="G6">
        <v>0</v>
      </c>
      <c r="H6">
        <v>3</v>
      </c>
      <c r="I6" s="2">
        <f t="shared" si="1"/>
        <v>0.33333333333333331</v>
      </c>
      <c r="J6" s="2">
        <f t="shared" si="2"/>
        <v>25</v>
      </c>
      <c r="K6" s="2">
        <f t="shared" si="3"/>
        <v>16</v>
      </c>
      <c r="L6" s="2">
        <f t="shared" si="4"/>
        <v>12</v>
      </c>
    </row>
    <row r="7" spans="1:14">
      <c r="A7" t="s">
        <v>69</v>
      </c>
      <c r="B7">
        <v>5</v>
      </c>
      <c r="C7" s="6">
        <v>19.5</v>
      </c>
      <c r="D7">
        <f t="shared" si="0"/>
        <v>8.5858585858585815E-2</v>
      </c>
      <c r="F7">
        <f t="shared" si="5"/>
        <v>0.41666666666666663</v>
      </c>
      <c r="G7">
        <v>2</v>
      </c>
      <c r="H7">
        <v>0</v>
      </c>
      <c r="I7" s="2">
        <f t="shared" si="1"/>
        <v>0.41666666666666663</v>
      </c>
      <c r="J7" s="2">
        <f t="shared" si="2"/>
        <v>27</v>
      </c>
      <c r="K7" s="2">
        <f t="shared" si="3"/>
        <v>17</v>
      </c>
      <c r="L7" s="2">
        <f t="shared" si="4"/>
        <v>13</v>
      </c>
    </row>
    <row r="8" spans="1:14">
      <c r="A8" t="s">
        <v>76</v>
      </c>
      <c r="B8">
        <v>5</v>
      </c>
      <c r="C8" s="6">
        <v>19.5</v>
      </c>
      <c r="D8">
        <f t="shared" si="0"/>
        <v>8.5858585858585815E-2</v>
      </c>
      <c r="F8">
        <f t="shared" si="5"/>
        <v>0.49999999999999994</v>
      </c>
      <c r="G8">
        <v>0</v>
      </c>
      <c r="H8">
        <v>2</v>
      </c>
      <c r="I8" s="2">
        <f t="shared" si="1"/>
        <v>0.49999999999999994</v>
      </c>
      <c r="J8" s="2">
        <f t="shared" si="2"/>
        <v>28</v>
      </c>
      <c r="K8" s="2">
        <f t="shared" si="3"/>
        <v>17</v>
      </c>
      <c r="L8" s="2">
        <f t="shared" si="4"/>
        <v>13</v>
      </c>
    </row>
    <row r="9" spans="1:14">
      <c r="A9" t="s">
        <v>28</v>
      </c>
      <c r="B9">
        <v>5</v>
      </c>
      <c r="C9" s="6">
        <v>17.8</v>
      </c>
      <c r="D9">
        <f t="shared" si="0"/>
        <v>0</v>
      </c>
      <c r="F9">
        <f t="shared" si="5"/>
        <v>0.58333333333333326</v>
      </c>
      <c r="G9">
        <v>0</v>
      </c>
      <c r="H9">
        <v>2</v>
      </c>
      <c r="I9" s="2">
        <f t="shared" si="1"/>
        <v>0.58333333333333326</v>
      </c>
      <c r="J9" s="2">
        <f t="shared" si="2"/>
        <v>30</v>
      </c>
      <c r="K9" s="2">
        <f t="shared" si="3"/>
        <v>18</v>
      </c>
      <c r="L9" s="2">
        <f t="shared" si="4"/>
        <v>14</v>
      </c>
    </row>
    <row r="10" spans="1:14">
      <c r="A10" t="s">
        <v>77</v>
      </c>
      <c r="B10">
        <v>5</v>
      </c>
      <c r="C10" s="6">
        <v>20.399999999999999</v>
      </c>
      <c r="D10">
        <f t="shared" si="0"/>
        <v>0.13131313131313119</v>
      </c>
      <c r="F10">
        <f t="shared" si="5"/>
        <v>0.66666666666666663</v>
      </c>
      <c r="G10">
        <v>0</v>
      </c>
      <c r="H10">
        <v>2</v>
      </c>
      <c r="I10" s="2">
        <f t="shared" si="1"/>
        <v>0.66666666666666663</v>
      </c>
      <c r="J10" s="2">
        <f t="shared" si="2"/>
        <v>31</v>
      </c>
      <c r="K10" s="2">
        <f t="shared" si="3"/>
        <v>19</v>
      </c>
      <c r="L10" s="2">
        <f t="shared" si="4"/>
        <v>15</v>
      </c>
    </row>
    <row r="11" spans="1:14">
      <c r="A11" t="s">
        <v>78</v>
      </c>
      <c r="B11">
        <v>5</v>
      </c>
      <c r="C11" s="6">
        <v>18.8</v>
      </c>
      <c r="D11">
        <f t="shared" si="0"/>
        <v>5.0505050505050504E-2</v>
      </c>
      <c r="F11">
        <f t="shared" si="5"/>
        <v>0.75</v>
      </c>
      <c r="G11">
        <v>0</v>
      </c>
      <c r="H11">
        <v>1</v>
      </c>
      <c r="I11" s="2">
        <f t="shared" si="1"/>
        <v>0.75</v>
      </c>
      <c r="J11" s="2">
        <f t="shared" si="2"/>
        <v>33</v>
      </c>
      <c r="K11" s="2">
        <f t="shared" si="3"/>
        <v>20</v>
      </c>
      <c r="L11" s="2">
        <f t="shared" si="4"/>
        <v>16</v>
      </c>
    </row>
    <row r="12" spans="1:14">
      <c r="A12" t="s">
        <v>79</v>
      </c>
      <c r="B12">
        <v>5</v>
      </c>
      <c r="C12" s="6">
        <v>22.6</v>
      </c>
      <c r="D12">
        <f t="shared" si="0"/>
        <v>0.24242424242424246</v>
      </c>
      <c r="F12">
        <f t="shared" si="5"/>
        <v>0.83333333333333337</v>
      </c>
      <c r="G12">
        <v>0</v>
      </c>
      <c r="H12">
        <v>0</v>
      </c>
      <c r="I12" s="2">
        <f t="shared" si="1"/>
        <v>0.83333333333333337</v>
      </c>
      <c r="J12" s="2">
        <f t="shared" si="2"/>
        <v>35</v>
      </c>
      <c r="K12" s="2">
        <f t="shared" si="3"/>
        <v>21</v>
      </c>
      <c r="L12" s="2">
        <f t="shared" si="4"/>
        <v>17</v>
      </c>
    </row>
    <row r="13" spans="1:14">
      <c r="A13" t="s">
        <v>29</v>
      </c>
      <c r="B13">
        <v>5</v>
      </c>
      <c r="C13" s="6">
        <v>19.600000000000001</v>
      </c>
      <c r="D13">
        <f t="shared" si="0"/>
        <v>9.0909090909090939E-2</v>
      </c>
      <c r="F13">
        <f t="shared" si="5"/>
        <v>0.91666666666666674</v>
      </c>
      <c r="G13">
        <v>0</v>
      </c>
      <c r="H13">
        <v>0</v>
      </c>
      <c r="I13" s="2">
        <f t="shared" si="1"/>
        <v>0.91666666666666674</v>
      </c>
      <c r="J13" s="2">
        <f t="shared" si="2"/>
        <v>36</v>
      </c>
      <c r="K13" s="2">
        <f t="shared" si="3"/>
        <v>21</v>
      </c>
      <c r="L13" s="2">
        <f t="shared" si="4"/>
        <v>17</v>
      </c>
    </row>
    <row r="14" spans="1:14">
      <c r="A14" t="s">
        <v>60</v>
      </c>
      <c r="B14">
        <v>6</v>
      </c>
      <c r="C14" s="6">
        <v>31.4</v>
      </c>
      <c r="D14">
        <f t="shared" si="0"/>
        <v>0.68686868686868674</v>
      </c>
      <c r="F14">
        <f t="shared" si="5"/>
        <v>1</v>
      </c>
      <c r="G14">
        <v>0</v>
      </c>
      <c r="H14">
        <v>1</v>
      </c>
      <c r="I14" s="2">
        <f t="shared" si="1"/>
        <v>1</v>
      </c>
      <c r="J14" s="2">
        <f t="shared" si="2"/>
        <v>38</v>
      </c>
      <c r="K14" s="2">
        <f t="shared" si="3"/>
        <v>23</v>
      </c>
      <c r="L14" s="2">
        <f t="shared" si="4"/>
        <v>19</v>
      </c>
    </row>
    <row r="15" spans="1:14">
      <c r="A15" t="s">
        <v>61</v>
      </c>
      <c r="B15">
        <v>6</v>
      </c>
      <c r="C15" s="6">
        <v>24</v>
      </c>
      <c r="D15">
        <f t="shared" si="0"/>
        <v>0.31313131313131309</v>
      </c>
    </row>
    <row r="16" spans="1:14">
      <c r="A16" t="s">
        <v>62</v>
      </c>
      <c r="B16">
        <v>6</v>
      </c>
      <c r="C16" s="6">
        <v>26.5</v>
      </c>
      <c r="D16">
        <f t="shared" si="0"/>
        <v>0.43939393939393934</v>
      </c>
    </row>
    <row r="17" spans="1:4">
      <c r="A17" t="s">
        <v>63</v>
      </c>
      <c r="B17">
        <v>6</v>
      </c>
      <c r="C17" s="6">
        <v>27.6</v>
      </c>
      <c r="D17">
        <f t="shared" si="0"/>
        <v>0.49494949494949497</v>
      </c>
    </row>
    <row r="18" spans="1:4">
      <c r="A18" t="s">
        <v>65</v>
      </c>
      <c r="B18">
        <v>6</v>
      </c>
      <c r="C18" s="6">
        <v>37.6</v>
      </c>
      <c r="D18">
        <f t="shared" si="0"/>
        <v>1</v>
      </c>
    </row>
    <row r="19" spans="1:4">
      <c r="A19" t="s">
        <v>66</v>
      </c>
      <c r="B19">
        <v>6</v>
      </c>
      <c r="C19" s="6">
        <v>22.3</v>
      </c>
      <c r="D19">
        <f t="shared" si="0"/>
        <v>0.22727272727272727</v>
      </c>
    </row>
    <row r="20" spans="1:4">
      <c r="A20" t="s">
        <v>67</v>
      </c>
      <c r="B20">
        <v>6</v>
      </c>
      <c r="C20" s="6">
        <v>29.2</v>
      </c>
      <c r="D20">
        <f t="shared" si="0"/>
        <v>0.57575757575757569</v>
      </c>
    </row>
    <row r="21" spans="1:4">
      <c r="A21" t="s">
        <v>68</v>
      </c>
      <c r="B21">
        <v>6</v>
      </c>
      <c r="C21" s="6">
        <v>23.5</v>
      </c>
      <c r="D21">
        <f t="shared" si="0"/>
        <v>0.28787878787878785</v>
      </c>
    </row>
    <row r="22" spans="1:4">
      <c r="A22" t="s">
        <v>70</v>
      </c>
      <c r="B22">
        <v>6</v>
      </c>
      <c r="C22" s="6">
        <v>28.1</v>
      </c>
      <c r="D22">
        <f t="shared" si="0"/>
        <v>0.52020202020202022</v>
      </c>
    </row>
    <row r="23" spans="1:4">
      <c r="A23" t="s">
        <v>71</v>
      </c>
      <c r="B23">
        <v>6</v>
      </c>
      <c r="C23" s="6">
        <v>19.899999999999999</v>
      </c>
      <c r="D23">
        <f t="shared" si="0"/>
        <v>0.10606060606060595</v>
      </c>
    </row>
    <row r="24" spans="1:4">
      <c r="A24" t="s">
        <v>72</v>
      </c>
      <c r="B24">
        <v>6</v>
      </c>
      <c r="C24" s="6">
        <v>21.5</v>
      </c>
      <c r="D24">
        <f t="shared" si="0"/>
        <v>0.18686868686868682</v>
      </c>
    </row>
    <row r="25" spans="1:4">
      <c r="A25" t="s">
        <v>73</v>
      </c>
      <c r="B25">
        <v>6</v>
      </c>
      <c r="C25" s="6">
        <v>29.7</v>
      </c>
      <c r="D25">
        <f t="shared" si="0"/>
        <v>0.60101010101010088</v>
      </c>
    </row>
    <row r="26" spans="1:4">
      <c r="A26" t="s">
        <v>74</v>
      </c>
      <c r="B26">
        <v>6</v>
      </c>
      <c r="C26" s="6">
        <v>29.7</v>
      </c>
      <c r="D26">
        <f t="shared" si="0"/>
        <v>0.60101010101010088</v>
      </c>
    </row>
    <row r="27" spans="1:4">
      <c r="A27" t="s">
        <v>75</v>
      </c>
      <c r="B27">
        <v>6</v>
      </c>
      <c r="C27" s="6">
        <v>22.9</v>
      </c>
      <c r="D27">
        <f t="shared" si="0"/>
        <v>0.25757575757575746</v>
      </c>
    </row>
  </sheetData>
  <sortState ref="A2:D27">
    <sortCondition ref="B2:B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circles</vt:lpstr>
      <vt:lpstr>best region</vt:lpstr>
      <vt:lpstr>RECAPS</vt:lpstr>
      <vt:lpstr>data (2)</vt:lpstr>
      <vt:lpstr>scale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jaime</cp:lastModifiedBy>
  <dcterms:created xsi:type="dcterms:W3CDTF">2023-01-25T10:25:46Z</dcterms:created>
  <dcterms:modified xsi:type="dcterms:W3CDTF">2023-03-16T12:37:56Z</dcterms:modified>
</cp:coreProperties>
</file>