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07"/>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68AE5900-4F68-47A5-A1C0-6B47C53D214B}" xr6:coauthVersionLast="47" xr6:coauthVersionMax="47" xr10:uidLastSave="{00000000-0000-0000-0000-000000000000}"/>
  <bookViews>
    <workbookView xWindow="-120" yWindow="-120" windowWidth="29040" windowHeight="15840" tabRatio="500" firstSheet="1" activeTab="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8" l="1"/>
  <c r="F22" i="6"/>
  <c r="F33" i="6"/>
  <c r="F32" i="6"/>
  <c r="F21" i="6"/>
  <c r="F20" i="6"/>
  <c r="B26" i="8"/>
  <c r="F39" i="6"/>
  <c r="F38" i="6"/>
  <c r="F37" i="6"/>
  <c r="F36" i="6"/>
  <c r="F17" i="6"/>
  <c r="F16" i="6"/>
  <c r="F15" i="6"/>
  <c r="F14" i="6"/>
  <c r="F13" i="6"/>
  <c r="F10" i="6"/>
  <c r="F9" i="6"/>
  <c r="F56" i="6"/>
  <c r="F55" i="6"/>
  <c r="F54" i="6"/>
  <c r="F53" i="6"/>
  <c r="F52" i="6"/>
  <c r="B24" i="8"/>
  <c r="F46" i="6"/>
  <c r="F48" i="6"/>
  <c r="F11" i="6"/>
  <c r="B32" i="8"/>
  <c r="B31" i="8"/>
  <c r="B29" i="8"/>
  <c r="B25" i="8"/>
  <c r="C21" i="6"/>
  <c r="C25" i="6"/>
  <c r="C20" i="6"/>
  <c r="B10" i="8"/>
  <c r="B11" i="8"/>
  <c r="B9" i="8"/>
  <c r="C13" i="6"/>
  <c r="C48" i="6"/>
  <c r="C44" i="6"/>
  <c r="C46" i="6"/>
  <c r="C47" i="6"/>
  <c r="B17" i="8"/>
  <c r="B13" i="8"/>
  <c r="C10" i="6"/>
  <c r="I59" i="6"/>
  <c r="C9" i="6"/>
  <c r="C56" i="6"/>
  <c r="C55" i="6"/>
  <c r="C53" i="6"/>
  <c r="C54" i="6"/>
  <c r="C52" i="6"/>
  <c r="C17" i="6"/>
  <c r="C15" i="6"/>
  <c r="C14" i="6"/>
  <c r="C16" i="6"/>
  <c r="C38" i="6"/>
  <c r="C39" i="6"/>
  <c r="C37" i="6"/>
  <c r="C36" i="6"/>
  <c r="E54" i="8"/>
  <c r="E53" i="8"/>
  <c r="E52" i="8"/>
  <c r="E38" i="8"/>
  <c r="E37" i="8"/>
  <c r="E36" i="8"/>
  <c r="E21" i="8"/>
  <c r="E20" i="8"/>
  <c r="J11" i="6"/>
  <c r="I11" i="6"/>
  <c r="G11" i="6"/>
  <c r="D11" i="6"/>
  <c r="C11" i="6"/>
  <c r="E29" i="8"/>
  <c r="E30" i="8"/>
  <c r="E31" i="8"/>
  <c r="E32" i="8"/>
  <c r="E33" i="8"/>
  <c r="C18" i="6"/>
  <c r="D18" i="6"/>
  <c r="F18" i="6"/>
  <c r="G18" i="6"/>
  <c r="I18" i="6"/>
  <c r="J18" i="6"/>
  <c r="C23" i="6"/>
  <c r="D23" i="6"/>
  <c r="F23" i="6"/>
  <c r="G23" i="6"/>
  <c r="I23" i="6"/>
  <c r="J23" i="6"/>
  <c r="C28" i="6"/>
  <c r="D28" i="6"/>
  <c r="F28" i="6"/>
  <c r="G28" i="6"/>
  <c r="I28" i="6"/>
  <c r="J28" i="6"/>
  <c r="C34" i="6"/>
  <c r="D34" i="6"/>
  <c r="F34" i="6"/>
  <c r="G34" i="6"/>
  <c r="I34" i="6"/>
  <c r="J34" i="6"/>
  <c r="C40" i="6"/>
  <c r="D40" i="6"/>
  <c r="F40" i="6"/>
  <c r="G40" i="6"/>
  <c r="I40" i="6"/>
  <c r="J40" i="6"/>
  <c r="C50" i="6"/>
  <c r="D50" i="6"/>
  <c r="F50" i="6"/>
  <c r="G50" i="6"/>
  <c r="I50" i="6"/>
  <c r="J50" i="6"/>
  <c r="C57" i="6"/>
  <c r="D57" i="6"/>
  <c r="F57" i="6"/>
  <c r="G57" i="6"/>
  <c r="I57" i="6"/>
  <c r="J57" i="6"/>
  <c r="E13" i="8"/>
  <c r="E46" i="8"/>
  <c r="E47" i="8"/>
  <c r="E48" i="8"/>
  <c r="E49" i="8"/>
  <c r="E25" i="8"/>
  <c r="E26" i="8"/>
  <c r="E27" i="8"/>
  <c r="E28" i="8"/>
  <c r="E10" i="8"/>
  <c r="E11" i="8"/>
  <c r="E12" i="8"/>
  <c r="E14" i="8"/>
  <c r="E15" i="8"/>
  <c r="E16" i="8"/>
  <c r="E17" i="8"/>
  <c r="E9" i="8"/>
  <c r="F59" i="6" l="1"/>
  <c r="C59" i="6"/>
  <c r="D59" i="6"/>
  <c r="C60" i="6" s="1"/>
  <c r="C4" i="9" s="1"/>
  <c r="G59" i="6"/>
  <c r="F60" i="6" s="1"/>
  <c r="C5" i="9" s="1"/>
  <c r="J59" i="6"/>
  <c r="I60" i="6" s="1"/>
  <c r="C6" i="9" s="1"/>
  <c r="G7" i="9"/>
  <c r="D50" i="8" l="1"/>
  <c r="D34" i="8"/>
  <c r="E8" i="8" l="1"/>
  <c r="D18" i="8"/>
  <c r="E24" i="8"/>
  <c r="E34" i="8" s="1"/>
  <c r="E41" i="8"/>
  <c r="E42" i="8"/>
  <c r="E43" i="8"/>
  <c r="E44" i="8"/>
  <c r="E45" i="8"/>
  <c r="E18" i="8" l="1"/>
  <c r="E50" i="8"/>
  <c r="B4" i="9"/>
  <c r="D4" i="9" s="1"/>
  <c r="B6" i="9"/>
  <c r="B5" i="9"/>
  <c r="D6" i="9" l="1"/>
  <c r="G6" i="9" s="1"/>
  <c r="D5" i="9"/>
  <c r="G5" i="9" s="1"/>
  <c r="G4" i="9"/>
</calcChain>
</file>

<file path=xl/sharedStrings.xml><?xml version="1.0" encoding="utf-8"?>
<sst xmlns="http://schemas.openxmlformats.org/spreadsheetml/2006/main" count="313" uniqueCount="200">
  <si>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</si>
  <si>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</si>
  <si>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</si>
  <si>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</si>
  <si>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</si>
  <si>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</si>
  <si>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</si>
  <si>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</si>
  <si>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</si>
  <si>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</si>
  <si>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</si>
  <si>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</si>
  <si>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</si>
  <si>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</si>
  <si>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</si>
  <si>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</si>
  <si>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</si>
  <si>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</si>
  <si>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Guillaume</t>
  </si>
  <si>
    <t>1.1 Utilisation des Cadriciels</t>
  </si>
  <si>
    <t>Le projet respecte les meilleures pratiques des cadriciels utilisés. (Exemple: séparation des responsabilités dans les Components et Services d'Angular, respect de la sémantique HTTP avec Express, etc.)</t>
  </si>
  <si>
    <t>-0.25 Client:ParametersComponent, PlayAreaComponent, ... -&gt; WebsocketService &amp; -&gt; GameService -&gt; ... -&gt; WebsocketService. Les couches ne dépendances ne sont pas bien établies
- 0 Client:GameService -&gt; StorageService &amp; -&gt;CommunicationService -&gt; StorageService. Les couches de dépendances ne sont pas bien établies
-0 Client:TextSlideComponent.changeTextValue() seulement validation frontend, aucune validation logique pour taille min/max
-0.25 Client:ChatBoxComponent.send - cette logique va dans un service
-1 Server:GameService - mauvaise utilisation du DI</t>
  </si>
  <si>
    <t>Suggestion: Le storage service n'est pas vraiment un service, vous pouvez rendre toutes les méthodes statiques
-0.25 Container.get() rend les classes difficiles à comprendre dans le backend. Vous pouvez injecter les classes dans le constructeur</t>
  </si>
  <si>
    <t>1.2 Arborescence</t>
  </si>
  <si>
    <t>Le projet respecte une arborescence de fichier claire,uniforme et structurée.
Les noms de fichiers et dossiers respectent le format kebab-case.</t>
  </si>
  <si>
    <t>-0.25 Client:services:communicationService
-0.25 Client:services:scoreCalculator
-0.25 Client:services:wordValidator
-0.25 Client:ConnectionResolver n'est pas dans un folder.</t>
  </si>
  <si>
    <t>-0.25 Client:services:mousePlacement
-0.25 Manque d'organisation dans Client:utils. Les fichiers comportent des constantes, pas des utils.
-0.25 Server:classes:httpException
-0.25 Server: classes:trienode
-0.25 Server - presque toutes les interfaces sont des /classes, mais la classe ClueFunctionParams est dans /interfaces, même chose pour /utils</t>
  </si>
  <si>
    <t>Sous-total</t>
  </si>
  <si>
    <t>2. Classe</t>
  </si>
  <si>
    <t>2.1 Responsabilité</t>
  </si>
  <si>
    <t>La classe n'a qu'une responsabilitée.
La classe n'est pas triviale.</t>
  </si>
  <si>
    <t>-0.5 Client:WebsocketService
-0 Server:GameController
-1 Server:WebsocketService
-0.25 Client:CommunicationService
-0.25 Client:GameService
-0.5 Server:GameService
-0 Client:ParametersComponent
-0.25 Client:PlayAreaComponent</t>
  </si>
  <si>
    <t xml:space="preserve">-0.25 Client - Il y a 2 fois la classe MousePlacementService
</t>
  </si>
  <si>
    <t>2.2 Nom</t>
  </si>
  <si>
    <t>La classe a un nom clair et précis.
La classe a un nom qui respecte le format PascalCase.</t>
  </si>
  <si>
    <t>-0 Server:WebsocketService</t>
  </si>
  <si>
    <t>2.3 Attributs</t>
  </si>
  <si>
    <t>La classe comporte uniquement des attributs utilisés.
La classe comporte uniquement des attributs qui sont des états de la classe.
La classe ne comporte pas d'attribut utilisé seulement dans les tests.</t>
  </si>
  <si>
    <t>Client:ChatBoxComponent.game</t>
  </si>
  <si>
    <t>2.4 Accessibilité</t>
  </si>
  <si>
    <t>La classe minisme l'accessibilité des membres. (Bonne utilisation de public/private/protected pour les attributs et les fonctions)
Les méthodes get/set font une validation quelconque sur les attributs privés.</t>
  </si>
  <si>
    <t xml:space="preserve">-0.25 Client:ChatService.handleCommandSuccess .handlePlaceCommand .getErrorMessage ...
-0.25 Client:CommandService.validateNumberOfCaps .validateWordIfLowerCase ...
-0.25 Client:CommunicationService.requestGameReconnection .requestCreateGame .requestJoinGame
-0.25 Client:GameService.handleStartGameEvent .passerSonTour
-0.25 Client:GridService.getRectWord .styleWord .drawWord ...
-0.25 Client:PlayerService.handleUpdateScore .newPlayerScore
-0 Client:ScoreCalculatorService.checkTypeOfTile
-0.25 Client:WordValidator.getVerticalWordTouching .getHorizontalWordTouching...
-0.25 Server:CommandService .hasLetters .includesLetters
J'ai arrêté la correction puisque la note a atteint 0 pour ce critère. </t>
  </si>
  <si>
    <t>-0.25 Client:ChatService .wsService .gameService</t>
  </si>
  <si>
    <t>2.5 Valeur par défaut</t>
  </si>
  <si>
    <t>La classe initialise tous ses attributs de la même façon. Soit à la définition, soit dans le constructeur.</t>
  </si>
  <si>
    <t>-0.25 Client:GridService</t>
  </si>
  <si>
    <t>-0.25 Client:HighScoresComponent
-0.25 Client:ParametersComponet
-0.25 Client:MousePlacementService</t>
  </si>
  <si>
    <t>3. Fonctions</t>
  </si>
  <si>
    <t>Nabil</t>
  </si>
  <si>
    <t>3.1 Nom</t>
  </si>
  <si>
    <t>La fonction a un nom précis.
La fonction a un nom qui respecte le format camelCase.</t>
  </si>
  <si>
    <t>-0.05: Client::ParametersComponent::getListOfGames ... un getter devrait retourner une valeur!
-0.05: Client::WordValidatorService::getVerticalWordTouching ... un getter devrait retourner une valeur!
-0.05: Client::WordValidatorService::getHorizontalWordTouching ... un getter devrait retourner une valeur!
-0.05: Client::GridService::drawSpecialCase ... non précis!
-0.05: Client::WordValidatorService::firstWordTouchesH8 -&gt; isFirstWordTouchesH8!
-0.05: Server::GameService::playerInGame -&gt; isPlayerInGame!
-0.05: Server::GameService::updatePlayerScore ... le param score est utilisé pour incrémenter et pas pour mettre à jour!</t>
  </si>
  <si>
    <t>-0.20: Client::HighestscoresComponent::sortDescending ... le nom de la fonction ne reflète pas sa responsabilité
-0.10: Client::ParametersComponent::placementAleatoire ... nom de fonction en français
-0.10: Client::GameService::convert ... nom de la fonction pas très précis!
-0.10: Client::MousePlacementService::addletter -&gt; addLetter
-0.10: Server::ScoreDatabaseService::getcollection ... ne respecte pas le format camelCase!</t>
  </si>
  <si>
    <t>3.2 Utilité</t>
  </si>
  <si>
    <t>La fonction est utilie et non-triviale.
La fonction ne peut pas être fragmenté en plusieurs fonctions.</t>
  </si>
  <si>
    <t>-0.20: Client::ChatBoxComponent::sendMessage ... n'est pas utile!
-0.20: Client::ChatBoxComponent::sendCommand ... n'est pas utile!
-0.20: Client::CommandService::throwsError ... peut être divisé en plusieurs fonctions!
-0.20: Client::PlayerService::newPlayerScore ... n'est pas utile!
-0.20: Server::GameService::initMulti ... peut être divisée en plusieurs fonctions!</t>
  </si>
  <si>
    <t>-0.20: Server::WebsocketService::handleSockets ... devrait être divisée en plusieurs fonctions!</t>
  </si>
  <si>
    <t>3.3 Paramètres</t>
  </si>
  <si>
    <t>La fonction possède le moins de paramètres possibles en entrée.
La fonction possède uniquement des paramètres d'entrée qui sont utilisés.</t>
  </si>
  <si>
    <t>All good!</t>
  </si>
  <si>
    <t>-0.05: Client::HighestscoresComponent::sortDescending ... type de sortie!
-0.10: Client::HighestscoresComponent::sortDescending ... nom du paramètre nw ?
-0.10: Client::TimerPipe::transform ... pourquoi utiliser le type 'unknown' à la place de 'string' ?
-0.05: Server::ClueService::getLettersBefore ... type de sortie!
-0.05: Server::ClueService::getLettersAfter ... type de sortie!
-0.10: Server::EaselService::removeLetters ... la fonction retourne toujours true!</t>
  </si>
  <si>
    <t>4. Exceptions</t>
  </si>
  <si>
    <t>4.1 Console</t>
  </si>
  <si>
    <t>La console ne génère pas de message d'avertissement (warning) ou d'erreur (error) qui aurait pu être gérés par le programme.</t>
  </si>
  <si>
    <t>-0.50: Erreurs de console dans les tests du client (&gt;20)</t>
  </si>
  <si>
    <t>Erreur dans la console lors de la création d'une partie solo!</t>
  </si>
  <si>
    <t>4.2 Code asynchrone</t>
  </si>
  <si>
    <t>Le code asynchrone (Promise, Observable, Event) est géré adéquatement.</t>
  </si>
  <si>
    <t>4.3 Message d'erreur</t>
  </si>
  <si>
    <t>Le message d'erreur est précis et compréhensible par l'utilisateur moyen.</t>
  </si>
  <si>
    <t>5. Variables et constantes</t>
  </si>
  <si>
    <t>5.1 Groupement</t>
  </si>
  <si>
    <t>Les constantes sont regroupées ensemble en groupes logiques.</t>
  </si>
  <si>
    <t>Très bon regroupement des constantes!</t>
  </si>
  <si>
    <t>5.2 Environnement</t>
  </si>
  <si>
    <t>Des variables d'environnements sont utilisées lorsque possible.</t>
  </si>
  <si>
    <t>5.3 Nom</t>
  </si>
  <si>
    <t>La variable locale respecte le format camelCase.
La constante respecte respecte le format SCREAMING_SNAKE_CASE.
La variable n'a pas un nom troncé excessivement. (Exemple: utiliser background au lieu de seulement bg)
La variable a un nom clair et précis.</t>
  </si>
  <si>
    <t>-0.20: Client::ChatBoxComponent::splitReserveText ... Le nom de la constante stringMap n'est pas précis!
-0.20: Client::ParametersComponent ... FORM_ERROR_MESSAGE.minLenght -&gt; FORM_ERROR_MESSAGE.minLength
-0.10: Server::Trie::insert ... nom de la variable 'curr' ?
-0.20: Server::WordvalidatorService::isTouchingH8 ... la constante 'MIDDLE' ne respecte pas le format camelCase!</t>
  </si>
  <si>
    <t>5.4 Constante</t>
  </si>
  <si>
    <t>La constante est utilisé dans un contexte lié à la logique d'affaire. (Exemple d'erreur: const DEUX = 2,  bonne utilisation: WAIT_TIME = 5000 )</t>
  </si>
  <si>
    <t>-0.10: Client::ChatBoxComponent::splitReserveText ... Faudra utiliser des constantes pour 'left' et 'right'!
-0.10: Client::ChatService::showPlayableWords ... utiliser une constante à la place de 3!
-0.10: Client::MousePlacementService::addletter ... la variable 'newLetter' n'est pas utile!
-0.10: Server::DatabaseService::connectToServer: la variable 'client' n'est pas utile!
-0.10: Server::EaselService::getRandomLetter ... la constante 'letter' n'est pas utile!</t>
  </si>
  <si>
    <t>6. Expressions booléennes</t>
  </si>
  <si>
    <t>6.1 Expression</t>
  </si>
  <si>
    <t>L'expression booléenne n'es pas comparée à true ou false. (Exemple d'erreur: x === true)</t>
  </si>
  <si>
    <t>-0.25 Client:PlayerPanelComponent.html
-0.25 Client:WinGameComponent.html</t>
  </si>
  <si>
    <t>-0.25 Server:ScoreDatabaseService:98, 105
-0.25 Server:EaselService:15, 27
-0.25 Server:WordValidatorService:15, 76</t>
  </si>
  <si>
    <t>6.2 Logique négative</t>
  </si>
  <si>
    <t>L'expression booléenne évite la logique négative. (Exemple d'erreur:  if( !notFound(…) )</t>
  </si>
  <si>
    <t>-0 Client: WordValidationService:28 - limite
-0.25 Server:WebSocketService:224</t>
  </si>
  <si>
    <t>6.3 Ternaire</t>
  </si>
  <si>
    <t>L'expression booléenne utilise un ternaire dans le bon scénario.</t>
  </si>
  <si>
    <t>-0.25 Client:GridService:103</t>
  </si>
  <si>
    <t>-0.25 Client:HighscoresComponent:41
-0.25 Client:CommandService:47
-0.25 Client:GridService:86, 91, 144
-0.25 Server:WordValidatorService:38</t>
  </si>
  <si>
    <t>6.4 Prédicats</t>
  </si>
  <si>
    <t>L'expression booléenne est simple.
L'expression booléenne utilise un ou des prédicats pour simplifier une condition complexe.</t>
  </si>
  <si>
    <t>-0.5 Client:CommandService: 87, 90
-0 Client:ScoreCalculatorService: 68 - limite
-0.5 WordValidatorService:160, 201
-0.25 Server:CommandService:18,19</t>
  </si>
  <si>
    <t>-0 Client:ParametersComponent:208
-0.25 Client:MousePlacementService:48, 52, 59
-0 Server:ClueService:144
-0.25 ClueService:187, 196</t>
  </si>
  <si>
    <t>7. Qualité générale</t>
  </si>
  <si>
    <t>Kevin</t>
  </si>
  <si>
    <t>7.1 Langue</t>
  </si>
  <si>
    <t>La langue utilisée pour les variables, classes et fonctions est uniforme pour tout le code source.
La langue utilisée pour les commentaires doit être uniforme, mais peut être différente que la langue du code source.</t>
  </si>
  <si>
    <t>-0.5 Client::parameters.components:204</t>
  </si>
  <si>
    <t>7.2 Commentaire</t>
  </si>
  <si>
    <t>Le commentaire est pertinent. (Le code commenté n'est pas pertinent)</t>
  </si>
  <si>
    <t>-1 common::node.d.ts
-0.5 server::player.service.ts:16
-0.5 server::virtual-player.service.ts:110</t>
  </si>
  <si>
    <t>7.3 Enum</t>
  </si>
  <si>
    <t>Le code utilise des enum lorsque c'est pertinent.</t>
  </si>
  <si>
    <t xml:space="preserve">-0.5 grid.service.tsL26,28 : Utiliser un enum pour les directions v et h
-0.5 command.service.ts:29,33,37 </t>
  </si>
  <si>
    <t>-1 les commandes doivent être un enum. (placer, passer....)</t>
  </si>
  <si>
    <t>7.4 Classe et interface</t>
  </si>
  <si>
    <t>Le code n'utilise pas d'objets anonymes JS et priorise les classes et les interfaces.</t>
  </si>
  <si>
    <t>7.5 Duplication</t>
  </si>
  <si>
    <t>Il n'y a pas de duplication de code.</t>
  </si>
  <si>
    <t>-1 grid.service.ts: 34,52
-1 wordvalidator,service.ts:50,63
-1 wordvalidator,service.ts:93,110
-1 wordvalidator,service.ts:145,156
-1 wordvalidator,service.ts:182,188</t>
  </si>
  <si>
    <t>-0.5 Client::parameters.components:107-115
-0.75 client::chat.service.ts:119-130-147
-0.5 client::mouse-placement.service.ts:118-129
-0.5 server::clue.service.ts:85-94
-0.5 server::clue.service.ts:277-293
-1.5 server::wordvalidator.service.ts::46-59, 124-143, 180-195</t>
  </si>
  <si>
    <t>7.6 ESLint</t>
  </si>
  <si>
    <t>Il n'y a pas de "eslint:disable" non justifiés dans le code.
L'utilisation limitée de eslint:disable est tolérée dans les fichiers de test (.spec.ts). (Exemple : nombres magiques)</t>
  </si>
  <si>
    <t>-1 websocket.service.ts
-1 command.service.ts</t>
  </si>
  <si>
    <t>-1 server::database.service.ts:18
-1 server::websocket.service.ts:38 : Utiliser le casting pour enforcer le type:
const socket = this.io.sockets.sockets.get(socketId) as Socket&lt;ClientEvents, ServerEvents, DefaultEventsMap, any&gt;</t>
  </si>
  <si>
    <t>7.7 Imbrication</t>
  </si>
  <si>
    <t>La structure conditionnelle réduit l'imbrication lorsque possible.</t>
  </si>
  <si>
    <t>-0 warning: La structure if () { .... return} n'as pas besoin de else {} block. Des points seront enlevés si present au prochain sprint.  
-0 warning: Toujours utiliserla structure if { .... return} quand c'est possible. Des points seront enlevés si present au prochain sprint. 
-1 game.service.ts:234</t>
  </si>
  <si>
    <t xml:space="preserve">-0.5 client::chat.service.ts::52 : Utiliser if() ... return 
-1 server::clue.service.ts:180
-0.5 server::command.service.ts:21: Utiliser for() ... continue
-0.5 server::grid.service.ts::103 : Utiliser if() ... continue 
-0.5 server::wordvalidator.service.ts::14 
-0.5 server::websocket.service.ts::89 </t>
  </si>
  <si>
    <t>7.8 Performance</t>
  </si>
  <si>
    <t>Le logiciel a une performance acceptable.</t>
  </si>
  <si>
    <t>8. Gestion de versions</t>
  </si>
  <si>
    <t>8.1 TAG</t>
  </si>
  <si>
    <t>La branche de développement possède le bon tag. (sprint1, sprint2, sprint3)</t>
  </si>
  <si>
    <t>work on &lt;&lt;dev&gt;&gt; , 1 merge on &lt;&lt;Master&gt;&gt; (!12) commits match</t>
  </si>
  <si>
    <t>8.2 Commit</t>
  </si>
  <si>
    <t>Le commit a un message pertinent et descriptif.</t>
  </si>
  <si>
    <t>-1 Faire un effort pour les message de commits.
last Push, feat: push lint, ajout fin, ws 100%, oublie du fdescribe, actual fix websoket, stubCommand, merge fixed, 100% Arouf Partouf</t>
  </si>
  <si>
    <t>8.3 Branches mortes</t>
  </si>
  <si>
    <t xml:space="preserve">Le projet ne contient pas de branches mortes (stale branch). Une branche est considérée comme morte si elle n'a pas de commit pendant plus de 3 semaines. </t>
  </si>
  <si>
    <t>-0.5 feature/placementAleatoire, deploy_v1.0</t>
  </si>
  <si>
    <t>8.4 Gitlab</t>
  </si>
  <si>
    <t>Des Merge Requests sont utilisées pour fusionner vers la branche de production.
Les Merge Requests sont approuvées par au moins un membre de l'équipe avant la fusion.
Les Issues sont mis à jour tout au long du projet.</t>
  </si>
  <si>
    <t>-1 Titres inconsistants pour les MR</t>
  </si>
  <si>
    <t>8.5 Fichiers</t>
  </si>
  <si>
    <t>Le projet contient uniquement les fichiers nécessaires. (Exemple: pas de dossier node_modules ou coverage).</t>
  </si>
  <si>
    <t>-1 clé privée ec2-keyRSA, connection string mongoDB</t>
  </si>
  <si>
    <t>Total QA sprint</t>
  </si>
  <si>
    <t>Note QA sprint</t>
  </si>
  <si>
    <t>Fonctionnalités</t>
  </si>
  <si>
    <t>Fonctionnalité</t>
  </si>
  <si>
    <t>Testé</t>
  </si>
  <si>
    <t>Note finale</t>
  </si>
  <si>
    <t>1.1 Point d'entrée de l'application</t>
  </si>
  <si>
    <t>1.2 Initialisation d'une nouvelle partie - Multijoueur</t>
  </si>
  <si>
    <t>----- Fonctionnalités -----
- Nom et paramètres de partie: Oui
- Pouvoir refuser le 2e joueur: Oui
- Avertissement si je suis refusé + redirection vers la liste des parties: Oui
- Démarrer -&gt; Redirection vers la vue de jeu: Oui
- Option pour transformer en partie solo: Non -1
- Annuler la partie: Oui
- Annuler redirige vers l'interface précédent: Oui
----- Tests -----</t>
  </si>
  <si>
    <t>1.3 Mode de jeu classique - Multijoueur</t>
  </si>
  <si>
    <t>-1 Le score de fin de partie n'est pas mis à jour 
-0.5 Une fois la partie terminer le joeur doit rester dans la page de jeux</t>
  </si>
  <si>
    <t>1.4 Validation des mots</t>
  </si>
  <si>
    <t>----- Fonctionnalités -----
Validation des mots fonctionne: Oui
Validation est sur le serveur: Non, validation client-side WordValidationService -1
Les lettres sont retournées après 3 sec. si le placement forme un mot invalide: Oui
Possible de placer des mots avec é, ç ou à: Non. ''placer h8h mà'' -1
Calcul des points: Oui
Calcul des bonus: Oui
50 points pour Bingo: Oui
----- Tests -----</t>
  </si>
  <si>
    <t>1.5 Vue de jeu</t>
  </si>
  <si>
    <t>Excellent travail!</t>
  </si>
  <si>
    <t>1.6 Boite de communication et clavardage</t>
  </si>
  <si>
    <t>----- Fonctionnalités -----
-0.05: Les résultats des commandes ne sont pas affichés! 
-0.10: Le replacement automatique de la barre de défilement fonctionne partiellement. Si le premier joueur envoie le message, on affiche le nouveau message (de qui est bon) mais quand le deuxième joueur envoie le message, on affiche le premier message (ce qui est étrange)!
----- Tests -----
Excellent!</t>
  </si>
  <si>
    <t>1.7 Placer des lettres (commande seulement)</t>
  </si>
  <si>
    <t>Parfait. Bon travail!
----- Fonctionnalités -----
Possible de placer des lettres sur le plateau: Oui
Respect des arguments de la commande (a-o) (1-15) (h/v): Oui
Seulement les lettre dans mon chevalet: Oui
Placer 1 lettre sans argument orientation: Oui
Possible de placer une lettre blanche: Oui
Lettre blanche est remplacée par la lettre qu'elle devient: Oui
Lettres placées valides seulement si contact: Oui
Impossible de jouer si ce n'est pas mon tour: Oui
----- Tests -----</t>
  </si>
  <si>
    <t>1.8 Échanger des lettres (commande seulement)</t>
  </si>
  <si>
    <t>1.9 Passer son tour</t>
  </si>
  <si>
    <t>1.10 Abandonner une partie</t>
  </si>
  <si>
    <t>----- Fonctionnalités -----
-0.25: Le système considère le joueur ayant le plus grand score toujours le gagnant même s'il abandonne la partie!
----- Tests -----
Excellent travail!</t>
  </si>
  <si>
    <t>Note finale pour le sprint</t>
  </si>
  <si>
    <t>Pénalités</t>
  </si>
  <si>
    <t>Crash</t>
  </si>
  <si>
    <t>Erreur de build</t>
  </si>
  <si>
    <t>2.1 Mode solo et Joueur Virtuel débutant</t>
  </si>
  <si>
    <t xml:space="preserve">--- Fonctionnalités ---
-0.5 Le système doit déclarer un gagnant à la fin de la partie en fonction des scores 
finaux
--- Tests ---
Les tests attendent le temps complet pour s'exécuter (3 et 17s). Il faudrait simuler le temps avec la librairie sinon pour éviter des temps d'attentes trop longs </t>
  </si>
  <si>
    <t>2.2 Placement aléatoire dans une partie</t>
  </si>
  <si>
    <t>--- Fonctionnalités ---
- Placement aléatoire fonctionne: Oui 3/3
- Le bouton est invisible s'il n'y a pas de partie: Oui 1.5/1.5
- Le bouton est visible mais désactivé s'il y a 1 partie: Oui 1.5/1.5
--- Tests ---</t>
  </si>
  <si>
    <t>2.3 Meilleurs scores</t>
  </si>
  <si>
    <t>--- Fonctionnalités ---
-0.15: Le système ne prend en considération qu'un des deux scores d'une partie multijoueur!
-0.10: Le système affiche les 5 meilleurs joueurs et pas les 5 meilleurs scores!
--- Tests ---</t>
  </si>
  <si>
    <t>2.4 Paramètres de partie - minuterie</t>
  </si>
  <si>
    <t>--- Fonctionnalités ---
--- Tests ---</t>
  </si>
  <si>
    <t>2.5 Initialisation d'une nouvelle partie - mode solo</t>
  </si>
  <si>
    <t>2.6 Placer des lettres</t>
  </si>
  <si>
    <t>--- Fonctionnalités ---
- Possible de modifier l'axe et la flèche change: Oui 2/2
- Marqueur de case active et bordure: Oui 2/2
- Possible de placer des lettres avec le clavier: Oui 2/2
- Possible de placer la lettre blanche avec majuscule: Oui 1/1
- Possible de placer une lettre avec accent: Oui 1/1
- Possible de retirer des lettres avec backspace: Oui 2/2
- Confirmer placement avec enter: Oui 2/2
- Annuler placement avec escape, chevalet ou boite de communication: Oui 1/1
- Résultat de la commande de la boite de communication: Oui 1/1
--- Tests ---</t>
  </si>
  <si>
    <t>2.7 Échanger des lettres</t>
  </si>
  <si>
    <t>--- Fonctionnalités ---
-0.15: Le système ne rajoute pas les lettres échangées dans la réserve!
-0.10: La commande est affiché deux fois dans la boite de communication!
--- Tests ---</t>
  </si>
  <si>
    <t>2.8 Commande réserve</t>
  </si>
  <si>
    <t xml:space="preserve">--- Fonctionnalités ---
- Possible d'avoir le réserve avec la commande !réserve: Oui 1.5/1.5
- Respect de l'affichage LETTRE:QUANTITÉ: Oui 1.5/1.5
- Seulement pour le joueur qui a fait la commande: Oui 1/1
--- Tests --- </t>
  </si>
  <si>
    <t>2.9 Manipuler les lettres du chevalet</t>
  </si>
  <si>
    <t>--- Fonctionnalités ---
- C'est clair qu'elle lettre est sélectionnée: Oui 1/1
- Possible de sélectionner avec click gauche: Oui 1/1
- Possible de sélectionner avec touche du clavier: Oui 1.5/1.5
- Possible de sélectionner la lettre blanche: Oui 0.5/0.5
- Désélectionner avec une lettre pas dans le chevalet: Oui 1/1
- Possible de sélectionner la deuxième occurence en appuyant 2 fois sur la même lettre: Oui 1/1
- Possible de déplacer les lettres avec les flèches: Oui 2/2
- Possible de déplacer les lettres avec la roulette: Oui 1/1
- Les positions des lettres est conservées entre les tours: Oui 1/1
--- Tests ---</t>
  </si>
  <si>
    <t>2.10 Commande indice</t>
  </si>
  <si>
    <t>--- Fonctionnalités ---
Excellent travail!
--- Tests ---</t>
  </si>
  <si>
    <t>Erreur de build  / déploiement erroné</t>
  </si>
  <si>
    <t>Anciennes fonctionnalités brisées</t>
  </si>
  <si>
    <t>3.1 Historique des parties</t>
  </si>
  <si>
    <t>3.2 Mode admin</t>
  </si>
  <si>
    <t>3.3. Joueur Virtuel expert</t>
  </si>
  <si>
    <t>3.4 Mode LOG2990 - Objectifs publics</t>
  </si>
  <si>
    <t>3.5 Mode LOG2990 - Objectifs privés</t>
  </si>
  <si>
    <t>3. Téléverser un nouveau dictionnaire</t>
  </si>
  <si>
    <t>3.7 Paramètres de partie - dictionnaire</t>
  </si>
  <si>
    <t>3.8 Abandonner une partie multijoueur - remplacer par JV</t>
  </si>
  <si>
    <t>3.9 Commande aide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</si>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</sst>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7">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auto="1"/>
      </left>
      <right/>
      <top/>
      <bottom style="thin">
        <color rgb="FF000000"/>
      </bottom>
      <diagonal/>
    </border>
    <border>
      <left/>
      <right/>
      <top/>
      <bottom style="thin">
        <color rgb="FF000000"/>
      </bottom>
      <diagonal/>
    </border>
    <border>
      <left/>
      <right style="medium">
        <color auto="1"/>
      </right>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2">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4" fillId="11" borderId="9" xfId="0" applyFont="1" applyFill="1" applyBorder="1" applyAlignment="1">
      <alignment horizontal="left" vertical="center"/>
    </xf>
    <xf numFmtId="0" fontId="14" fillId="11" borderId="25"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9" xfId="0" applyFont="1" applyFill="1" applyBorder="1" applyAlignment="1">
      <alignment horizontal="left" vertical="center" wrapText="1"/>
    </xf>
    <xf numFmtId="0" fontId="14" fillId="20" borderId="25"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4" fillId="14" borderId="9" xfId="0" applyFont="1" applyFill="1" applyBorder="1" applyAlignment="1">
      <alignment horizontal="left" vertical="center"/>
    </xf>
    <xf numFmtId="0" fontId="14" fillId="14" borderId="25" xfId="0" applyFont="1" applyFill="1" applyBorder="1" applyAlignment="1">
      <alignment horizontal="left" vertical="center"/>
    </xf>
    <xf numFmtId="0" fontId="14" fillId="14" borderId="30"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2" fontId="0" fillId="8" borderId="14" xfId="0" applyNumberFormat="1" applyFill="1" applyBorder="1" applyAlignment="1">
      <alignment horizontal="center" vertical="center" wrapText="1"/>
    </xf>
    <xf numFmtId="164" fontId="13" fillId="8" borderId="10" xfId="0" applyNumberFormat="1" applyFont="1" applyFill="1" applyBorder="1" applyAlignment="1">
      <alignment horizontal="center" vertical="center" wrapText="1"/>
    </xf>
    <xf numFmtId="164" fontId="0" fillId="8" borderId="14" xfId="0" applyNumberFormat="1" applyFill="1" applyBorder="1" applyAlignment="1">
      <alignment horizontal="center" vertical="center" wrapText="1"/>
    </xf>
    <xf numFmtId="164" fontId="0" fillId="8" borderId="8" xfId="0" applyNumberFormat="1" applyFill="1" applyBorder="1" applyAlignment="1">
      <alignment horizontal="center" vertical="center" wrapText="1"/>
    </xf>
    <xf numFmtId="164" fontId="0" fillId="8" borderId="54" xfId="0" applyNumberFormat="1" applyFill="1" applyBorder="1" applyAlignment="1">
      <alignment horizontal="center" vertical="center" wrapText="1"/>
    </xf>
    <xf numFmtId="0" fontId="0" fillId="8" borderId="55" xfId="0" applyFill="1" applyBorder="1" applyAlignment="1">
      <alignment horizontal="center" vertical="center" wrapText="1"/>
    </xf>
    <xf numFmtId="0" fontId="0" fillId="8" borderId="55" xfId="0" applyFill="1" applyBorder="1" applyAlignment="1">
      <alignment horizontal="left" vertical="center" wrapText="1"/>
    </xf>
    <xf numFmtId="0" fontId="0" fillId="9" borderId="55" xfId="0" applyFill="1" applyBorder="1" applyAlignment="1">
      <alignment horizontal="center" vertical="center" wrapText="1"/>
    </xf>
    <xf numFmtId="0" fontId="0" fillId="9" borderId="55" xfId="0" applyFill="1" applyBorder="1" applyAlignment="1">
      <alignment horizontal="left" vertical="center" wrapText="1"/>
    </xf>
    <xf numFmtId="0" fontId="0" fillId="13" borderId="54" xfId="0" applyFill="1" applyBorder="1" applyAlignment="1">
      <alignment horizontal="center" vertical="center" wrapText="1"/>
    </xf>
    <xf numFmtId="0" fontId="0" fillId="13" borderId="55" xfId="0" applyFill="1" applyBorder="1" applyAlignment="1">
      <alignment horizontal="center" vertical="center" wrapText="1"/>
    </xf>
    <xf numFmtId="0" fontId="0" fillId="13" borderId="56" xfId="0" applyFill="1" applyBorder="1" applyAlignment="1">
      <alignment horizontal="left" vertical="center" wrapText="1"/>
    </xf>
    <xf numFmtId="2" fontId="0" fillId="9" borderId="8" xfId="0" applyNumberFormat="1" applyFill="1" applyBorder="1" applyAlignment="1">
      <alignment horizontal="center" vertical="center" wrapText="1"/>
    </xf>
    <xf numFmtId="2" fontId="0" fillId="10" borderId="8" xfId="0" applyNumberFormat="1" applyFill="1" applyBorder="1" applyAlignment="1">
      <alignment horizontal="center" vertical="center" wrapText="1"/>
    </xf>
    <xf numFmtId="0" fontId="0" fillId="8" borderId="54" xfId="0" applyFill="1" applyBorder="1" applyAlignment="1">
      <alignment horizontal="center" vertical="center" wrapText="1"/>
    </xf>
    <xf numFmtId="0" fontId="13" fillId="8" borderId="3" xfId="0" applyFont="1" applyFill="1" applyBorder="1" applyAlignment="1">
      <alignment horizontal="center" vertical="center" wrapText="1"/>
    </xf>
    <xf numFmtId="0" fontId="13" fillId="8" borderId="27" xfId="0" applyFont="1" applyFill="1" applyBorder="1" applyAlignment="1">
      <alignment horizontal="center" vertical="center" wrapText="1"/>
    </xf>
    <xf numFmtId="0" fontId="13" fillId="8" borderId="38" xfId="0" applyFont="1" applyFill="1" applyBorder="1" applyAlignment="1">
      <alignment horizontal="left" vertical="center" wrapText="1"/>
    </xf>
    <xf numFmtId="0" fontId="13" fillId="9" borderId="3" xfId="0" applyFont="1" applyFill="1" applyBorder="1" applyAlignment="1">
      <alignment horizontal="center" vertical="center" wrapText="1"/>
    </xf>
    <xf numFmtId="0" fontId="13" fillId="9" borderId="27"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3" borderId="3" xfId="0" applyFont="1" applyFill="1" applyBorder="1" applyAlignment="1">
      <alignment horizontal="center" vertical="center" wrapText="1"/>
    </xf>
    <xf numFmtId="0" fontId="13" fillId="13" borderId="27" xfId="0" applyFont="1" applyFill="1" applyBorder="1" applyAlignment="1">
      <alignment horizontal="center" vertical="center" wrapText="1"/>
    </xf>
    <xf numFmtId="0" fontId="13" fillId="13" borderId="38" xfId="0" applyFont="1" applyFill="1" applyBorder="1" applyAlignment="1">
      <alignment horizontal="left" vertical="center" wrapText="1"/>
    </xf>
    <xf numFmtId="0" fontId="14" fillId="11" borderId="33" xfId="0" applyFont="1" applyFill="1" applyBorder="1" applyAlignment="1">
      <alignment horizontal="left" vertical="center" wrapText="1"/>
    </xf>
    <xf numFmtId="0" fontId="14" fillId="11" borderId="30" xfId="0" applyFont="1" applyFill="1" applyBorder="1" applyAlignment="1">
      <alignment horizontal="left" vertical="center" wrapText="1"/>
    </xf>
    <xf numFmtId="0" fontId="14" fillId="19" borderId="33" xfId="0" applyFont="1" applyFill="1" applyBorder="1" applyAlignment="1">
      <alignment horizontal="left" vertical="center" wrapText="1"/>
    </xf>
    <xf numFmtId="2" fontId="14" fillId="19" borderId="29" xfId="0" applyNumberFormat="1" applyFont="1" applyFill="1" applyBorder="1" applyAlignment="1">
      <alignment horizontal="left" vertical="center"/>
    </xf>
    <xf numFmtId="0" fontId="14" fillId="20" borderId="33" xfId="0" applyFont="1" applyFill="1" applyBorder="1" applyAlignment="1">
      <alignment horizontal="left" vertical="center" wrapText="1"/>
    </xf>
    <xf numFmtId="0" fontId="14" fillId="12" borderId="33" xfId="0" applyFont="1" applyFill="1" applyBorder="1" applyAlignment="1">
      <alignment horizontal="left" vertical="center" wrapText="1"/>
    </xf>
    <xf numFmtId="2" fontId="0" fillId="9" borderId="54" xfId="0" applyNumberFormat="1" applyFill="1" applyBorder="1" applyAlignment="1">
      <alignment horizontal="center" vertical="center" wrapText="1"/>
    </xf>
    <xf numFmtId="2" fontId="0" fillId="9" borderId="35" xfId="0" applyNumberFormat="1" applyFill="1" applyBorder="1" applyAlignment="1">
      <alignment horizontal="center" vertical="center" wrapText="1"/>
    </xf>
    <xf numFmtId="2" fontId="0" fillId="9" borderId="14" xfId="0" applyNumberFormat="1" applyFill="1" applyBorder="1" applyAlignment="1">
      <alignment horizontal="center" vertical="center" wrapText="1"/>
    </xf>
    <xf numFmtId="0" fontId="14" fillId="20" borderId="30" xfId="0" applyFont="1" applyFill="1" applyBorder="1" applyAlignment="1">
      <alignment horizontal="left" vertical="center"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F5" sqref="F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38"/>
      <c r="B3" s="114" t="s">
        <v>0</v>
      </c>
      <c r="C3" s="114" t="s">
        <v>1</v>
      </c>
      <c r="D3" s="114" t="s">
        <v>2</v>
      </c>
      <c r="E3" s="115" t="s">
        <v>3</v>
      </c>
      <c r="F3" s="116" t="s">
        <v>4</v>
      </c>
      <c r="G3" s="117" t="s">
        <v>5</v>
      </c>
    </row>
    <row r="4" spans="1:7">
      <c r="A4" s="95" t="s">
        <v>6</v>
      </c>
      <c r="B4" s="96">
        <f>(Fonctionnalités!E18)</f>
        <v>0.92200000000000004</v>
      </c>
      <c r="C4" s="96">
        <f>'Assurance Qualité'!C60</f>
        <v>0.75075000000000003</v>
      </c>
      <c r="D4" s="96">
        <f>B4*0.6+C4*0.4 - 0.1*E4</f>
        <v>0.85350000000000004</v>
      </c>
      <c r="E4" s="97"/>
      <c r="F4" s="98">
        <v>20</v>
      </c>
      <c r="G4" s="99">
        <f>D4*F4</f>
        <v>17.07</v>
      </c>
    </row>
    <row r="5" spans="1:7">
      <c r="A5" s="100" t="s">
        <v>7</v>
      </c>
      <c r="B5" s="101">
        <f>(Fonctionnalités!E34)</f>
        <v>0.93500000000000005</v>
      </c>
      <c r="C5" s="101">
        <f>'Assurance Qualité'!F60</f>
        <v>0.79200000000000004</v>
      </c>
      <c r="D5" s="101">
        <f t="shared" ref="D5:D6" si="0">B5*0.6+C5*0.4 - 0.1*E5</f>
        <v>0.87780000000000014</v>
      </c>
      <c r="E5" s="102"/>
      <c r="F5" s="103">
        <v>25</v>
      </c>
      <c r="G5" s="104">
        <f t="shared" ref="G5:G7" si="1">D5*F5</f>
        <v>21.945000000000004</v>
      </c>
    </row>
    <row r="6" spans="1:7">
      <c r="A6" s="105" t="s">
        <v>8</v>
      </c>
      <c r="B6" s="106">
        <f>(Fonctionnalités!E50)</f>
        <v>0</v>
      </c>
      <c r="C6" s="106">
        <f>'Assurance Qualité'!I60</f>
        <v>0</v>
      </c>
      <c r="D6" s="106">
        <f t="shared" si="0"/>
        <v>0</v>
      </c>
      <c r="E6" s="107"/>
      <c r="F6" s="108">
        <v>20</v>
      </c>
      <c r="G6" s="109">
        <f t="shared" si="1"/>
        <v>0</v>
      </c>
    </row>
    <row r="7" spans="1:7">
      <c r="A7" s="110" t="s">
        <v>9</v>
      </c>
      <c r="B7" s="110"/>
      <c r="C7" s="110"/>
      <c r="D7" s="111">
        <v>0</v>
      </c>
      <c r="E7" s="112"/>
      <c r="F7" s="110">
        <v>10</v>
      </c>
      <c r="G7" s="113">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0"/>
  <sheetViews>
    <sheetView tabSelected="1" topLeftCell="A16" zoomScaleNormal="100" workbookViewId="0">
      <selection activeCell="H30" sqref="H30"/>
    </sheetView>
  </sheetViews>
  <sheetFormatPr defaultColWidth="9.140625" defaultRowHeight="15"/>
  <cols>
    <col min="1" max="1" width="22.7109375" style="1" customWidth="1"/>
    <col min="2" max="2" width="77.5703125" style="10" customWidth="1"/>
    <col min="3" max="3" width="12.28515625" style="1" hidden="1" customWidth="1"/>
    <col min="4" max="4" width="10.42578125" style="1" hidden="1" customWidth="1"/>
    <col min="5" max="5" width="17.28515625" style="10" hidden="1" customWidth="1"/>
    <col min="6" max="7" width="10.7109375" customWidth="1"/>
    <col min="8" max="8" width="113.28515625" style="10" customWidth="1"/>
    <col min="9" max="10" width="10.7109375" customWidth="1"/>
    <col min="11" max="11" width="20.7109375" style="10" customWidth="1"/>
    <col min="12" max="13" width="12.7109375" customWidth="1"/>
    <col min="14" max="16" width="15.7109375" customWidth="1"/>
    <col min="17" max="1029" width="9.140625" bestFit="1" customWidth="1"/>
    <col min="16384" max="16384" width="9.140625" customWidth="1"/>
  </cols>
  <sheetData>
    <row r="2" spans="1:17" ht="18.399999999999999" customHeight="1">
      <c r="A2" s="272" t="s">
        <v>10</v>
      </c>
      <c r="B2" s="272"/>
      <c r="C2" s="272"/>
      <c r="D2" s="272"/>
      <c r="E2" s="272"/>
      <c r="F2" s="272"/>
      <c r="G2" s="272"/>
      <c r="H2" s="272"/>
      <c r="I2" s="272"/>
      <c r="J2" s="272"/>
      <c r="K2" s="272"/>
      <c r="L2" s="7"/>
      <c r="M2" s="7"/>
    </row>
    <row r="4" spans="1:17" ht="18.399999999999999" customHeight="1">
      <c r="A4" s="273" t="s">
        <v>11</v>
      </c>
      <c r="B4" s="273"/>
      <c r="C4" s="273"/>
      <c r="D4" s="273"/>
      <c r="E4" s="273"/>
      <c r="F4" s="273"/>
      <c r="G4" s="273"/>
      <c r="H4" s="273"/>
      <c r="I4" s="273"/>
      <c r="J4" s="273"/>
      <c r="K4" s="273"/>
      <c r="L4" s="4"/>
      <c r="M4" s="4"/>
    </row>
    <row r="5" spans="1:17" ht="18.75">
      <c r="A5" s="11"/>
      <c r="B5" s="39"/>
      <c r="C5" s="2"/>
      <c r="D5" s="2"/>
      <c r="E5" s="39"/>
      <c r="F5" s="2"/>
      <c r="G5" s="2"/>
      <c r="H5" s="39"/>
      <c r="I5" s="2"/>
      <c r="J5" s="2"/>
      <c r="K5" s="39"/>
      <c r="L5" s="2"/>
      <c r="M5" s="2"/>
    </row>
    <row r="6" spans="1:17" ht="18.399999999999999" customHeight="1">
      <c r="A6" s="265" t="s">
        <v>12</v>
      </c>
      <c r="B6" s="277" t="s">
        <v>13</v>
      </c>
      <c r="C6" s="267" t="s">
        <v>6</v>
      </c>
      <c r="D6" s="268"/>
      <c r="E6" s="268"/>
      <c r="F6" s="269" t="s">
        <v>7</v>
      </c>
      <c r="G6" s="270"/>
      <c r="H6" s="271"/>
      <c r="I6" s="274" t="s">
        <v>8</v>
      </c>
      <c r="J6" s="275"/>
      <c r="K6" s="276"/>
      <c r="L6" s="3"/>
      <c r="M6" s="3"/>
      <c r="N6" s="263"/>
      <c r="O6" s="264"/>
      <c r="P6" s="264"/>
    </row>
    <row r="7" spans="1:17" ht="18.75">
      <c r="A7" s="266"/>
      <c r="B7" s="278"/>
      <c r="C7" s="14" t="s">
        <v>14</v>
      </c>
      <c r="D7" s="15" t="s">
        <v>4</v>
      </c>
      <c r="E7" s="21" t="s">
        <v>15</v>
      </c>
      <c r="F7" s="16" t="s">
        <v>14</v>
      </c>
      <c r="G7" s="17" t="s">
        <v>4</v>
      </c>
      <c r="H7" s="20" t="s">
        <v>15</v>
      </c>
      <c r="I7" s="18" t="s">
        <v>14</v>
      </c>
      <c r="J7" s="19" t="s">
        <v>4</v>
      </c>
      <c r="K7" s="22" t="s">
        <v>15</v>
      </c>
      <c r="L7" s="3"/>
      <c r="M7" s="3"/>
      <c r="N7" s="38"/>
      <c r="O7" s="38"/>
      <c r="P7" s="38"/>
      <c r="Q7" s="38"/>
    </row>
    <row r="8" spans="1:17" ht="18.75">
      <c r="A8" s="247" t="s">
        <v>16</v>
      </c>
      <c r="B8" s="247"/>
      <c r="C8" s="240" t="s">
        <v>17</v>
      </c>
      <c r="D8" s="241"/>
      <c r="E8" s="44" t="s">
        <v>18</v>
      </c>
      <c r="F8" s="240" t="s">
        <v>17</v>
      </c>
      <c r="G8" s="241"/>
      <c r="H8" s="44" t="s">
        <v>18</v>
      </c>
      <c r="I8" s="240" t="s">
        <v>17</v>
      </c>
      <c r="J8" s="241"/>
      <c r="K8" s="44"/>
      <c r="L8" s="3"/>
      <c r="M8" s="3"/>
      <c r="N8" s="38"/>
      <c r="O8" s="38"/>
      <c r="P8" s="38"/>
      <c r="Q8" s="38"/>
    </row>
    <row r="9" spans="1:17" ht="65.25" customHeight="1">
      <c r="A9" s="29" t="s">
        <v>19</v>
      </c>
      <c r="B9" s="29" t="s">
        <v>20</v>
      </c>
      <c r="C9" s="210">
        <f>(6-2*0.25-1)/6</f>
        <v>0.75</v>
      </c>
      <c r="D9" s="211">
        <v>6</v>
      </c>
      <c r="E9" s="212" t="s">
        <v>21</v>
      </c>
      <c r="F9" s="236">
        <f>(6-0.25)/6</f>
        <v>0.95833333333333337</v>
      </c>
      <c r="G9" s="213">
        <v>6</v>
      </c>
      <c r="H9" s="214" t="s">
        <v>22</v>
      </c>
      <c r="I9" s="215"/>
      <c r="J9" s="216">
        <v>6</v>
      </c>
      <c r="K9" s="217"/>
      <c r="L9" s="3"/>
      <c r="M9" s="3"/>
      <c r="N9" s="38"/>
      <c r="O9" s="38"/>
      <c r="P9" s="38"/>
      <c r="Q9" s="38"/>
    </row>
    <row r="10" spans="1:17" ht="91.5">
      <c r="A10" s="23" t="s">
        <v>23</v>
      </c>
      <c r="B10" s="23" t="s">
        <v>24</v>
      </c>
      <c r="C10" s="220">
        <f>(2-1)/2</f>
        <v>0.5</v>
      </c>
      <c r="D10" s="211">
        <v>2</v>
      </c>
      <c r="E10" s="212" t="s">
        <v>25</v>
      </c>
      <c r="F10" s="236">
        <f>(2-5*0.25)/2</f>
        <v>0.375</v>
      </c>
      <c r="G10" s="213">
        <v>2</v>
      </c>
      <c r="H10" s="214" t="s">
        <v>26</v>
      </c>
      <c r="I10" s="215"/>
      <c r="J10" s="216">
        <v>2</v>
      </c>
      <c r="K10" s="217"/>
      <c r="L10" s="3"/>
      <c r="M10" s="3"/>
      <c r="N10" s="38"/>
      <c r="O10" s="38"/>
      <c r="P10" s="38"/>
      <c r="Q10" s="38"/>
    </row>
    <row r="11" spans="1:17" s="30" customFormat="1" ht="15.75">
      <c r="A11" s="242" t="s">
        <v>27</v>
      </c>
      <c r="B11" s="243"/>
      <c r="C11" s="221">
        <f>SUMPRODUCT(C6:C10,D6:D10)</f>
        <v>5.5</v>
      </c>
      <c r="D11" s="222">
        <f>SUM(D6:D10)</f>
        <v>8</v>
      </c>
      <c r="E11" s="223"/>
      <c r="F11" s="224">
        <f>SUMPRODUCT(F9:F10,G9:G10)</f>
        <v>6.5</v>
      </c>
      <c r="G11" s="225">
        <f>SUM(G6:G10)</f>
        <v>8</v>
      </c>
      <c r="H11" s="226"/>
      <c r="I11" s="227">
        <f>SUMPRODUCT(I6:I10,J6:J10)</f>
        <v>0</v>
      </c>
      <c r="J11" s="228">
        <f>SUM(J6:J10)</f>
        <v>8</v>
      </c>
      <c r="K11" s="229"/>
      <c r="L11" s="54"/>
      <c r="M11" s="54"/>
      <c r="N11" s="42"/>
      <c r="O11" s="42"/>
      <c r="P11" s="42"/>
      <c r="Q11" s="42"/>
    </row>
    <row r="12" spans="1:17" s="12" customFormat="1" ht="18.399999999999999" customHeight="1">
      <c r="A12" s="247" t="s">
        <v>28</v>
      </c>
      <c r="B12" s="247"/>
      <c r="C12" s="240" t="s">
        <v>17</v>
      </c>
      <c r="D12" s="241"/>
      <c r="E12" s="44" t="s">
        <v>18</v>
      </c>
      <c r="F12" s="240" t="s">
        <v>17</v>
      </c>
      <c r="G12" s="241"/>
      <c r="H12" s="44" t="s">
        <v>18</v>
      </c>
      <c r="I12" s="240" t="s">
        <v>17</v>
      </c>
      <c r="J12" s="241"/>
      <c r="K12" s="44"/>
      <c r="L12" s="4"/>
      <c r="M12" s="4"/>
      <c r="N12" s="41"/>
      <c r="O12" s="41"/>
      <c r="P12" s="41"/>
      <c r="Q12" s="41"/>
    </row>
    <row r="13" spans="1:17" ht="57.75" customHeight="1">
      <c r="A13" s="29" t="s">
        <v>29</v>
      </c>
      <c r="B13" s="29" t="s">
        <v>30</v>
      </c>
      <c r="C13" s="76">
        <f>(4-0.5-1-0.25-0.25-0.5-0.25)/4</f>
        <v>0.3125</v>
      </c>
      <c r="D13" s="77">
        <v>4</v>
      </c>
      <c r="E13" s="78" t="s">
        <v>31</v>
      </c>
      <c r="F13" s="237">
        <f>(4-0.25)/4</f>
        <v>0.9375</v>
      </c>
      <c r="G13" s="87">
        <v>4</v>
      </c>
      <c r="H13" s="88" t="s">
        <v>32</v>
      </c>
      <c r="I13" s="89"/>
      <c r="J13" s="90">
        <v>4</v>
      </c>
      <c r="K13" s="91"/>
      <c r="L13" s="5"/>
      <c r="M13" s="5"/>
    </row>
    <row r="14" spans="1:17" ht="30">
      <c r="A14" s="23" t="s">
        <v>33</v>
      </c>
      <c r="B14" s="23" t="s">
        <v>34</v>
      </c>
      <c r="C14" s="80">
        <f>2/2</f>
        <v>1</v>
      </c>
      <c r="D14" s="81">
        <v>2</v>
      </c>
      <c r="E14" s="82" t="s">
        <v>35</v>
      </c>
      <c r="F14" s="83">
        <f>2/2</f>
        <v>1</v>
      </c>
      <c r="G14" s="84">
        <v>2</v>
      </c>
      <c r="H14" s="85"/>
      <c r="I14" s="73"/>
      <c r="J14" s="74">
        <v>2</v>
      </c>
      <c r="K14" s="75"/>
      <c r="L14" s="5"/>
      <c r="M14" s="5"/>
    </row>
    <row r="15" spans="1:17" ht="45">
      <c r="A15" s="23" t="s">
        <v>36</v>
      </c>
      <c r="B15" s="23" t="s">
        <v>37</v>
      </c>
      <c r="C15" s="80">
        <f>3/3</f>
        <v>1</v>
      </c>
      <c r="D15" s="81">
        <v>3</v>
      </c>
      <c r="E15" s="82" t="s">
        <v>38</v>
      </c>
      <c r="F15" s="83">
        <f>3/3</f>
        <v>1</v>
      </c>
      <c r="G15" s="84">
        <v>3</v>
      </c>
      <c r="H15" s="85"/>
      <c r="I15" s="73"/>
      <c r="J15" s="74">
        <v>3</v>
      </c>
      <c r="K15" s="75"/>
      <c r="L15" s="5"/>
      <c r="M15" s="5"/>
    </row>
    <row r="16" spans="1:17" ht="73.5" customHeight="1">
      <c r="A16" s="23" t="s">
        <v>39</v>
      </c>
      <c r="B16" s="23" t="s">
        <v>40</v>
      </c>
      <c r="C16" s="80">
        <f>0/2</f>
        <v>0</v>
      </c>
      <c r="D16" s="81">
        <v>2</v>
      </c>
      <c r="E16" s="82" t="s">
        <v>41</v>
      </c>
      <c r="F16" s="238">
        <f>(2-0.25)/2</f>
        <v>0.875</v>
      </c>
      <c r="G16" s="84">
        <v>2</v>
      </c>
      <c r="H16" s="85" t="s">
        <v>42</v>
      </c>
      <c r="I16" s="73"/>
      <c r="J16" s="74">
        <v>2</v>
      </c>
      <c r="K16" s="75"/>
      <c r="L16" s="5"/>
      <c r="M16" s="5"/>
    </row>
    <row r="17" spans="1:17" ht="45.75">
      <c r="A17" s="23" t="s">
        <v>43</v>
      </c>
      <c r="B17" s="23" t="s">
        <v>44</v>
      </c>
      <c r="C17" s="208">
        <f>(4-0.25)/4</f>
        <v>0.9375</v>
      </c>
      <c r="D17" s="81">
        <v>4</v>
      </c>
      <c r="E17" s="82" t="s">
        <v>45</v>
      </c>
      <c r="F17" s="238">
        <f>(4-3*0.25)/4</f>
        <v>0.8125</v>
      </c>
      <c r="G17" s="84">
        <v>4</v>
      </c>
      <c r="H17" s="85" t="s">
        <v>46</v>
      </c>
      <c r="I17" s="73"/>
      <c r="J17" s="74">
        <v>4</v>
      </c>
      <c r="K17" s="75"/>
      <c r="L17" s="5"/>
      <c r="M17" s="5"/>
    </row>
    <row r="18" spans="1:17" s="30" customFormat="1" ht="15.75">
      <c r="A18" s="242" t="s">
        <v>27</v>
      </c>
      <c r="B18" s="243"/>
      <c r="C18" s="45">
        <f>SUMPRODUCT(C13:C17,D13:D17)</f>
        <v>10</v>
      </c>
      <c r="D18" s="46">
        <f>SUM(D13:D17)</f>
        <v>15</v>
      </c>
      <c r="E18" s="47"/>
      <c r="F18" s="48">
        <f>SUMPRODUCT(F13:F17,G13:G17)</f>
        <v>13.75</v>
      </c>
      <c r="G18" s="49">
        <f>SUM(G13:G17)</f>
        <v>15</v>
      </c>
      <c r="H18" s="50"/>
      <c r="I18" s="51">
        <f>SUMPRODUCT(I13:I17,J13:J17)</f>
        <v>0</v>
      </c>
      <c r="J18" s="52">
        <f>SUM(J13:J17)</f>
        <v>15</v>
      </c>
      <c r="K18" s="53"/>
      <c r="L18" s="54"/>
      <c r="M18" s="54"/>
      <c r="N18" s="42"/>
      <c r="O18" s="42"/>
      <c r="P18" s="42"/>
      <c r="Q18" s="42"/>
    </row>
    <row r="19" spans="1:17" s="41" customFormat="1" ht="18.399999999999999" customHeight="1">
      <c r="A19" s="279" t="s">
        <v>47</v>
      </c>
      <c r="B19" s="279"/>
      <c r="C19" s="240" t="s">
        <v>17</v>
      </c>
      <c r="D19" s="241"/>
      <c r="E19" s="44" t="s">
        <v>48</v>
      </c>
      <c r="F19" s="240" t="s">
        <v>17</v>
      </c>
      <c r="G19" s="241"/>
      <c r="H19" s="44" t="s">
        <v>48</v>
      </c>
      <c r="I19" s="240" t="s">
        <v>17</v>
      </c>
      <c r="J19" s="241"/>
      <c r="K19" s="44"/>
      <c r="L19" s="4"/>
      <c r="M19" s="4"/>
    </row>
    <row r="20" spans="1:17" ht="76.5">
      <c r="A20" s="29" t="s">
        <v>49</v>
      </c>
      <c r="B20" s="29" t="s">
        <v>50</v>
      </c>
      <c r="C20" s="94">
        <f>1-0.05*7</f>
        <v>0.64999999999999991</v>
      </c>
      <c r="D20" s="25">
        <v>2</v>
      </c>
      <c r="E20" s="26" t="s">
        <v>51</v>
      </c>
      <c r="F20" s="79">
        <f>1-0.2-4*0.1</f>
        <v>0.4</v>
      </c>
      <c r="G20" s="27">
        <v>2</v>
      </c>
      <c r="H20" s="28" t="s">
        <v>52</v>
      </c>
      <c r="I20" s="70"/>
      <c r="J20" s="71">
        <v>2</v>
      </c>
      <c r="K20" s="72"/>
      <c r="L20" s="5"/>
      <c r="M20" s="5"/>
    </row>
    <row r="21" spans="1:17" ht="30.75">
      <c r="A21" s="23" t="s">
        <v>53</v>
      </c>
      <c r="B21" s="23" t="s">
        <v>54</v>
      </c>
      <c r="C21" s="80">
        <f>1-0.2*5</f>
        <v>0</v>
      </c>
      <c r="D21" s="81">
        <v>3</v>
      </c>
      <c r="E21" s="82" t="s">
        <v>55</v>
      </c>
      <c r="F21" s="83">
        <f>1-0.2</f>
        <v>0.8</v>
      </c>
      <c r="G21" s="84">
        <v>3</v>
      </c>
      <c r="H21" s="85" t="s">
        <v>56</v>
      </c>
      <c r="I21" s="73"/>
      <c r="J21" s="74">
        <v>3</v>
      </c>
      <c r="K21" s="75"/>
      <c r="L21" s="5"/>
      <c r="M21" s="5"/>
    </row>
    <row r="22" spans="1:17" ht="91.5">
      <c r="A22" s="23" t="s">
        <v>57</v>
      </c>
      <c r="B22" s="23" t="s">
        <v>58</v>
      </c>
      <c r="C22" s="80">
        <v>1</v>
      </c>
      <c r="D22" s="81">
        <v>3</v>
      </c>
      <c r="E22" s="82" t="s">
        <v>59</v>
      </c>
      <c r="F22" s="83">
        <f>1-3*0.1-0.05*3</f>
        <v>0.54999999999999993</v>
      </c>
      <c r="G22" s="84">
        <v>3</v>
      </c>
      <c r="H22" s="85" t="s">
        <v>60</v>
      </c>
      <c r="I22" s="73"/>
      <c r="J22" s="74">
        <v>3</v>
      </c>
      <c r="K22" s="75"/>
      <c r="L22" s="5"/>
      <c r="M22" s="5"/>
    </row>
    <row r="23" spans="1:17" s="42" customFormat="1" ht="27" customHeight="1">
      <c r="A23" s="280" t="s">
        <v>27</v>
      </c>
      <c r="B23" s="262"/>
      <c r="C23" s="55">
        <f>SUMPRODUCT(C20:C22,D20:D22)</f>
        <v>4.3</v>
      </c>
      <c r="D23" s="56">
        <f>SUM(D20:D22)</f>
        <v>8</v>
      </c>
      <c r="E23" s="57"/>
      <c r="F23" s="58">
        <f>SUMPRODUCT(F20:F22,G20:G22)</f>
        <v>4.8499999999999996</v>
      </c>
      <c r="G23" s="59">
        <f>SUM(G20:G22)</f>
        <v>8</v>
      </c>
      <c r="H23" s="60"/>
      <c r="I23" s="61">
        <f>SUMPRODUCT(I20:I22,J20:J22)</f>
        <v>0</v>
      </c>
      <c r="J23" s="62">
        <f>SUM(J20:J22)</f>
        <v>8</v>
      </c>
      <c r="K23" s="63"/>
      <c r="L23" s="54"/>
      <c r="M23" s="54"/>
    </row>
    <row r="24" spans="1:17" ht="18.75" customHeight="1">
      <c r="A24" s="43" t="s">
        <v>61</v>
      </c>
      <c r="B24" s="43"/>
      <c r="C24" s="240" t="s">
        <v>17</v>
      </c>
      <c r="D24" s="241"/>
      <c r="E24" s="44" t="s">
        <v>48</v>
      </c>
      <c r="F24" s="240" t="s">
        <v>17</v>
      </c>
      <c r="G24" s="241"/>
      <c r="H24" s="44" t="s">
        <v>48</v>
      </c>
      <c r="I24" s="240" t="s">
        <v>17</v>
      </c>
      <c r="J24" s="241"/>
      <c r="K24" s="44"/>
      <c r="L24" s="4"/>
      <c r="M24" s="4"/>
    </row>
    <row r="25" spans="1:17" ht="30.75">
      <c r="A25" s="40" t="s">
        <v>62</v>
      </c>
      <c r="B25" s="40" t="s">
        <v>63</v>
      </c>
      <c r="C25" s="94">
        <f>1-0.5</f>
        <v>0.5</v>
      </c>
      <c r="D25" s="25">
        <v>2</v>
      </c>
      <c r="E25" s="26" t="s">
        <v>64</v>
      </c>
      <c r="F25" s="79">
        <v>0</v>
      </c>
      <c r="G25" s="27">
        <v>2</v>
      </c>
      <c r="H25" s="28" t="s">
        <v>65</v>
      </c>
      <c r="I25" s="70"/>
      <c r="J25" s="71">
        <v>2</v>
      </c>
      <c r="K25" s="72"/>
      <c r="L25" s="5"/>
      <c r="M25" s="5"/>
    </row>
    <row r="26" spans="1:17">
      <c r="A26" s="23" t="s">
        <v>66</v>
      </c>
      <c r="B26" s="23" t="s">
        <v>67</v>
      </c>
      <c r="C26" s="80">
        <v>1</v>
      </c>
      <c r="D26" s="81">
        <v>1</v>
      </c>
      <c r="E26" s="82"/>
      <c r="F26" s="83">
        <v>1</v>
      </c>
      <c r="G26" s="84">
        <v>1</v>
      </c>
      <c r="H26" s="85"/>
      <c r="I26" s="73"/>
      <c r="J26" s="74">
        <v>1</v>
      </c>
      <c r="K26" s="75"/>
      <c r="L26" s="5"/>
      <c r="M26" s="5"/>
    </row>
    <row r="27" spans="1:17">
      <c r="A27" s="23" t="s">
        <v>68</v>
      </c>
      <c r="B27" s="23" t="s">
        <v>69</v>
      </c>
      <c r="C27" s="80">
        <v>1</v>
      </c>
      <c r="D27" s="81">
        <v>1</v>
      </c>
      <c r="E27" s="82"/>
      <c r="F27" s="83">
        <v>1</v>
      </c>
      <c r="G27" s="84">
        <v>1</v>
      </c>
      <c r="H27" s="85"/>
      <c r="I27" s="73"/>
      <c r="J27" s="74">
        <v>1</v>
      </c>
      <c r="K27" s="75"/>
      <c r="L27" s="5"/>
      <c r="M27" s="5"/>
    </row>
    <row r="28" spans="1:17" s="42" customFormat="1" ht="15.75">
      <c r="A28" s="261" t="s">
        <v>27</v>
      </c>
      <c r="B28" s="262"/>
      <c r="C28" s="45">
        <f>SUMPRODUCT(C25:C27,D25:D27)</f>
        <v>3</v>
      </c>
      <c r="D28" s="46">
        <f>SUM(D25:D27)</f>
        <v>4</v>
      </c>
      <c r="E28" s="47"/>
      <c r="F28" s="58">
        <f>SUMPRODUCT(F25:F27,G25:G27)</f>
        <v>2</v>
      </c>
      <c r="G28" s="59">
        <f>SUM(G25:G27)</f>
        <v>4</v>
      </c>
      <c r="H28" s="60"/>
      <c r="I28" s="61">
        <f>SUMPRODUCT(I25:I27,J25:J27)</f>
        <v>0</v>
      </c>
      <c r="J28" s="62">
        <f>SUM(J25:J27)</f>
        <v>4</v>
      </c>
      <c r="K28" s="63"/>
      <c r="L28" s="54"/>
      <c r="M28" s="54"/>
    </row>
    <row r="29" spans="1:17" ht="21" customHeight="1">
      <c r="A29" s="279" t="s">
        <v>70</v>
      </c>
      <c r="B29" s="279"/>
      <c r="C29" s="240" t="s">
        <v>17</v>
      </c>
      <c r="D29" s="241"/>
      <c r="E29" s="44" t="s">
        <v>48</v>
      </c>
      <c r="F29" s="240" t="s">
        <v>17</v>
      </c>
      <c r="G29" s="241"/>
      <c r="H29" s="64" t="s">
        <v>48</v>
      </c>
      <c r="I29" s="240" t="s">
        <v>17</v>
      </c>
      <c r="J29" s="241"/>
      <c r="K29" s="44"/>
      <c r="L29" s="9"/>
      <c r="M29" s="4"/>
    </row>
    <row r="30" spans="1:17">
      <c r="A30" s="31" t="s">
        <v>71</v>
      </c>
      <c r="B30" s="31" t="s">
        <v>72</v>
      </c>
      <c r="C30" s="76">
        <v>1</v>
      </c>
      <c r="D30" s="77">
        <v>2</v>
      </c>
      <c r="E30" s="78" t="s">
        <v>73</v>
      </c>
      <c r="F30" s="86">
        <v>1</v>
      </c>
      <c r="G30" s="87">
        <v>2</v>
      </c>
      <c r="H30" s="92"/>
      <c r="I30" s="89"/>
      <c r="J30" s="90">
        <v>2</v>
      </c>
      <c r="K30" s="91"/>
      <c r="L30" s="5"/>
      <c r="M30" s="5"/>
    </row>
    <row r="31" spans="1:17">
      <c r="A31" s="24" t="s">
        <v>74</v>
      </c>
      <c r="B31" s="24" t="s">
        <v>75</v>
      </c>
      <c r="C31" s="80">
        <v>1</v>
      </c>
      <c r="D31" s="81">
        <v>2</v>
      </c>
      <c r="E31" s="82"/>
      <c r="F31" s="83">
        <v>1</v>
      </c>
      <c r="G31" s="84">
        <v>2</v>
      </c>
      <c r="H31" s="93"/>
      <c r="I31" s="73"/>
      <c r="J31" s="74">
        <v>2</v>
      </c>
      <c r="K31" s="75"/>
      <c r="L31" s="5"/>
      <c r="M31" s="5"/>
    </row>
    <row r="32" spans="1:17" ht="76.5">
      <c r="A32" s="24" t="s">
        <v>76</v>
      </c>
      <c r="B32" s="24" t="s">
        <v>77</v>
      </c>
      <c r="C32" s="80">
        <v>1</v>
      </c>
      <c r="D32" s="81">
        <v>2</v>
      </c>
      <c r="E32" s="82"/>
      <c r="F32" s="83">
        <f>1-0.2*3-0.1</f>
        <v>0.29999999999999993</v>
      </c>
      <c r="G32" s="84">
        <v>2</v>
      </c>
      <c r="H32" s="93" t="s">
        <v>78</v>
      </c>
      <c r="I32" s="73"/>
      <c r="J32" s="74">
        <v>2</v>
      </c>
      <c r="K32" s="75"/>
      <c r="L32" s="5"/>
      <c r="M32" s="5"/>
    </row>
    <row r="33" spans="1:13" ht="76.5">
      <c r="A33" s="24" t="s">
        <v>79</v>
      </c>
      <c r="B33" s="24" t="s">
        <v>80</v>
      </c>
      <c r="C33" s="80">
        <v>1</v>
      </c>
      <c r="D33" s="81">
        <v>3</v>
      </c>
      <c r="E33" s="82"/>
      <c r="F33" s="83">
        <f>1-0.1*5</f>
        <v>0.5</v>
      </c>
      <c r="G33" s="84">
        <v>3</v>
      </c>
      <c r="H33" s="93" t="s">
        <v>81</v>
      </c>
      <c r="I33" s="73"/>
      <c r="J33" s="74">
        <v>3</v>
      </c>
      <c r="K33" s="75"/>
      <c r="L33" s="5"/>
      <c r="M33" s="5"/>
    </row>
    <row r="34" spans="1:13" s="42" customFormat="1" ht="15.75">
      <c r="A34" s="242" t="s">
        <v>27</v>
      </c>
      <c r="B34" s="243"/>
      <c r="C34" s="45">
        <f>SUMPRODUCT(C30:C33,D30:D33)</f>
        <v>9</v>
      </c>
      <c r="D34" s="46">
        <f>SUM(D30:D33)</f>
        <v>9</v>
      </c>
      <c r="E34" s="47"/>
      <c r="F34" s="48">
        <f>SUMPRODUCT(F30:F33,G30:G33)</f>
        <v>6.1</v>
      </c>
      <c r="G34" s="49">
        <f>SUM(G30:G33)</f>
        <v>9</v>
      </c>
      <c r="H34" s="65"/>
      <c r="I34" s="61">
        <f>SUMPRODUCT(I30:I33,J30:J33)</f>
        <v>0</v>
      </c>
      <c r="J34" s="62">
        <f>SUM(J30:J33)</f>
        <v>9</v>
      </c>
      <c r="K34" s="63"/>
      <c r="L34" s="54"/>
      <c r="M34" s="54"/>
    </row>
    <row r="35" spans="1:13" ht="18.75" customHeight="1">
      <c r="A35" s="247" t="s">
        <v>82</v>
      </c>
      <c r="B35" s="247"/>
      <c r="C35" s="240" t="s">
        <v>17</v>
      </c>
      <c r="D35" s="241"/>
      <c r="E35" s="44" t="s">
        <v>18</v>
      </c>
      <c r="F35" s="240" t="s">
        <v>17</v>
      </c>
      <c r="G35" s="241"/>
      <c r="H35" s="44" t="s">
        <v>18</v>
      </c>
      <c r="I35" s="66" t="s">
        <v>17</v>
      </c>
      <c r="J35" s="64"/>
      <c r="K35" s="44"/>
      <c r="L35" s="8"/>
      <c r="M35" s="4"/>
    </row>
    <row r="36" spans="1:13" ht="45.75">
      <c r="A36" s="29" t="s">
        <v>83</v>
      </c>
      <c r="B36" s="29" t="s">
        <v>84</v>
      </c>
      <c r="C36" s="76">
        <f>(2-0.5)/2</f>
        <v>0.75</v>
      </c>
      <c r="D36" s="77">
        <v>2</v>
      </c>
      <c r="E36" s="78" t="s">
        <v>85</v>
      </c>
      <c r="F36" s="237">
        <f>(2-0.25*3)/2</f>
        <v>0.625</v>
      </c>
      <c r="G36" s="87">
        <v>2</v>
      </c>
      <c r="H36" s="88" t="s">
        <v>86</v>
      </c>
      <c r="I36" s="89"/>
      <c r="J36" s="90">
        <v>2</v>
      </c>
      <c r="K36" s="91"/>
      <c r="L36" s="5"/>
      <c r="M36" s="5"/>
    </row>
    <row r="37" spans="1:13" ht="30.75">
      <c r="A37" s="23" t="s">
        <v>87</v>
      </c>
      <c r="B37" s="23" t="s">
        <v>88</v>
      </c>
      <c r="C37" s="206">
        <f>(2-0.25)/2</f>
        <v>0.875</v>
      </c>
      <c r="D37" s="81">
        <v>2</v>
      </c>
      <c r="E37" s="82" t="s">
        <v>89</v>
      </c>
      <c r="F37" s="83">
        <f>2/2</f>
        <v>1</v>
      </c>
      <c r="G37" s="84">
        <v>2</v>
      </c>
      <c r="H37" s="85"/>
      <c r="I37" s="73"/>
      <c r="J37" s="74">
        <v>2</v>
      </c>
      <c r="K37" s="75"/>
      <c r="L37" s="5"/>
      <c r="M37" s="5"/>
    </row>
    <row r="38" spans="1:13" ht="60.75">
      <c r="A38" s="23" t="s">
        <v>90</v>
      </c>
      <c r="B38" s="23" t="s">
        <v>91</v>
      </c>
      <c r="C38" s="206">
        <f>(3-0.25)/3</f>
        <v>0.91666666666666663</v>
      </c>
      <c r="D38" s="81">
        <v>3</v>
      </c>
      <c r="E38" s="82" t="s">
        <v>92</v>
      </c>
      <c r="F38" s="238">
        <f>(3-4*0.25)/3</f>
        <v>0.66666666666666663</v>
      </c>
      <c r="G38" s="84">
        <v>3</v>
      </c>
      <c r="H38" s="85" t="s">
        <v>93</v>
      </c>
      <c r="I38" s="73"/>
      <c r="J38" s="74">
        <v>3</v>
      </c>
      <c r="K38" s="75"/>
      <c r="L38" s="5"/>
      <c r="M38" s="5"/>
    </row>
    <row r="39" spans="1:13" ht="60.75">
      <c r="A39" s="23" t="s">
        <v>94</v>
      </c>
      <c r="B39" s="23" t="s">
        <v>95</v>
      </c>
      <c r="C39" s="206">
        <f>(3-0.5-0.2-0.025)/3</f>
        <v>0.7583333333333333</v>
      </c>
      <c r="D39" s="81">
        <v>3</v>
      </c>
      <c r="E39" s="82" t="s">
        <v>96</v>
      </c>
      <c r="F39" s="238">
        <f>(3-2*0.25)/3</f>
        <v>0.83333333333333337</v>
      </c>
      <c r="G39" s="84">
        <v>3</v>
      </c>
      <c r="H39" s="85" t="s">
        <v>97</v>
      </c>
      <c r="I39" s="73"/>
      <c r="J39" s="74">
        <v>3</v>
      </c>
      <c r="K39" s="75"/>
      <c r="L39" s="5"/>
      <c r="M39" s="5"/>
    </row>
    <row r="40" spans="1:13" s="42" customFormat="1" ht="15.75">
      <c r="A40" s="242" t="s">
        <v>27</v>
      </c>
      <c r="B40" s="243"/>
      <c r="C40" s="207">
        <f>SUMPRODUCT(C36:C39,D36:D39)</f>
        <v>8.2750000000000004</v>
      </c>
      <c r="D40" s="46">
        <f>SUM(D36:D39)</f>
        <v>10</v>
      </c>
      <c r="E40" s="47"/>
      <c r="F40" s="67">
        <f>SUMPRODUCT(F36:F39,G36:G39)</f>
        <v>7.75</v>
      </c>
      <c r="G40" s="49">
        <f>SUM(G36:G39)</f>
        <v>10</v>
      </c>
      <c r="H40" s="50"/>
      <c r="I40" s="61">
        <f>SUMPRODUCT(I36:I39,J36:J39)</f>
        <v>0</v>
      </c>
      <c r="J40" s="62">
        <f>SUM(J36:J39)</f>
        <v>10</v>
      </c>
      <c r="K40" s="63"/>
      <c r="L40" s="54"/>
      <c r="M40" s="54"/>
    </row>
    <row r="41" spans="1:13" ht="18.75" customHeight="1">
      <c r="A41" s="43" t="s">
        <v>98</v>
      </c>
      <c r="B41" s="43"/>
      <c r="C41" s="240" t="s">
        <v>17</v>
      </c>
      <c r="D41" s="241"/>
      <c r="E41" s="64" t="s">
        <v>99</v>
      </c>
      <c r="F41" s="240" t="s">
        <v>17</v>
      </c>
      <c r="G41" s="241"/>
      <c r="H41" s="44" t="s">
        <v>99</v>
      </c>
      <c r="I41" s="240" t="s">
        <v>17</v>
      </c>
      <c r="J41" s="241"/>
      <c r="K41" s="44"/>
      <c r="L41" s="4"/>
      <c r="M41" s="4"/>
    </row>
    <row r="42" spans="1:13" ht="60.75">
      <c r="A42" s="23" t="s">
        <v>100</v>
      </c>
      <c r="B42" s="23" t="s">
        <v>101</v>
      </c>
      <c r="C42" s="80">
        <v>1</v>
      </c>
      <c r="D42" s="81">
        <v>2</v>
      </c>
      <c r="E42" s="82"/>
      <c r="F42" s="83">
        <v>0.75</v>
      </c>
      <c r="G42" s="84">
        <v>2</v>
      </c>
      <c r="H42" s="85" t="s">
        <v>102</v>
      </c>
      <c r="I42" s="73"/>
      <c r="J42" s="74">
        <v>2</v>
      </c>
      <c r="K42" s="75"/>
      <c r="L42" s="5"/>
      <c r="M42" s="5"/>
    </row>
    <row r="43" spans="1:13" ht="45.75">
      <c r="A43" s="23" t="s">
        <v>103</v>
      </c>
      <c r="B43" s="23" t="s">
        <v>104</v>
      </c>
      <c r="C43" s="80">
        <v>1</v>
      </c>
      <c r="D43" s="81">
        <v>2</v>
      </c>
      <c r="E43" s="82"/>
      <c r="F43" s="83">
        <v>0</v>
      </c>
      <c r="G43" s="84">
        <v>2</v>
      </c>
      <c r="H43" s="85" t="s">
        <v>105</v>
      </c>
      <c r="I43" s="73"/>
      <c r="J43" s="74">
        <v>2</v>
      </c>
      <c r="K43" s="75"/>
      <c r="L43" s="5"/>
      <c r="M43" s="5"/>
    </row>
    <row r="44" spans="1:13">
      <c r="A44" s="23" t="s">
        <v>106</v>
      </c>
      <c r="B44" s="23" t="s">
        <v>107</v>
      </c>
      <c r="C44" s="80">
        <f>1/2</f>
        <v>0.5</v>
      </c>
      <c r="D44" s="81">
        <v>2</v>
      </c>
      <c r="E44" s="82" t="s">
        <v>108</v>
      </c>
      <c r="F44" s="83">
        <v>0.5</v>
      </c>
      <c r="G44" s="84">
        <v>2</v>
      </c>
      <c r="H44" s="85" t="s">
        <v>109</v>
      </c>
      <c r="I44" s="73"/>
      <c r="J44" s="74">
        <v>2</v>
      </c>
      <c r="K44" s="75"/>
      <c r="L44" s="5"/>
    </row>
    <row r="45" spans="1:13">
      <c r="A45" s="23" t="s">
        <v>110</v>
      </c>
      <c r="B45" s="23" t="s">
        <v>111</v>
      </c>
      <c r="C45" s="80">
        <v>1</v>
      </c>
      <c r="D45" s="81">
        <v>4</v>
      </c>
      <c r="E45" s="82"/>
      <c r="F45" s="83">
        <v>1</v>
      </c>
      <c r="G45" s="84">
        <v>4</v>
      </c>
      <c r="H45" s="85"/>
      <c r="I45" s="73"/>
      <c r="J45" s="74">
        <v>4</v>
      </c>
      <c r="K45" s="75"/>
      <c r="L45" s="5"/>
      <c r="M45" s="5"/>
    </row>
    <row r="46" spans="1:13" ht="91.5">
      <c r="A46" s="23" t="s">
        <v>112</v>
      </c>
      <c r="B46" s="23" t="s">
        <v>113</v>
      </c>
      <c r="C46" s="206">
        <f>1/6</f>
        <v>0.16666666666666666</v>
      </c>
      <c r="D46" s="81">
        <v>6</v>
      </c>
      <c r="E46" s="82" t="s">
        <v>114</v>
      </c>
      <c r="F46" s="83">
        <f>(6-3.75)/6</f>
        <v>0.375</v>
      </c>
      <c r="G46" s="84">
        <v>6</v>
      </c>
      <c r="H46" s="85" t="s">
        <v>115</v>
      </c>
      <c r="I46" s="73"/>
      <c r="J46" s="74">
        <v>6</v>
      </c>
      <c r="K46" s="75"/>
      <c r="L46" s="5"/>
      <c r="M46" s="5"/>
    </row>
    <row r="47" spans="1:13" ht="45.75">
      <c r="A47" s="23" t="s">
        <v>116</v>
      </c>
      <c r="B47" s="23" t="s">
        <v>117</v>
      </c>
      <c r="C47" s="80">
        <f>8/10</f>
        <v>0.8</v>
      </c>
      <c r="D47" s="81">
        <v>10</v>
      </c>
      <c r="E47" s="82" t="s">
        <v>118</v>
      </c>
      <c r="F47" s="83">
        <v>0.8</v>
      </c>
      <c r="G47" s="84">
        <v>10</v>
      </c>
      <c r="H47" s="85" t="s">
        <v>119</v>
      </c>
      <c r="I47" s="73"/>
      <c r="J47" s="74">
        <v>10</v>
      </c>
      <c r="K47" s="75"/>
      <c r="L47" s="5"/>
      <c r="M47" s="5"/>
    </row>
    <row r="48" spans="1:13" ht="91.5">
      <c r="A48" s="23" t="s">
        <v>120</v>
      </c>
      <c r="B48" s="23" t="s">
        <v>121</v>
      </c>
      <c r="C48" s="206">
        <f>5/6</f>
        <v>0.83333333333333337</v>
      </c>
      <c r="D48" s="81">
        <v>6</v>
      </c>
      <c r="E48" s="82" t="s">
        <v>122</v>
      </c>
      <c r="F48" s="83">
        <f>(6-3.5)/6</f>
        <v>0.41666666666666669</v>
      </c>
      <c r="G48" s="84">
        <v>6</v>
      </c>
      <c r="H48" s="85" t="s">
        <v>123</v>
      </c>
      <c r="I48" s="73"/>
      <c r="J48" s="74">
        <v>6</v>
      </c>
      <c r="K48" s="75"/>
      <c r="L48" s="5"/>
      <c r="M48" s="5"/>
    </row>
    <row r="49" spans="1:17">
      <c r="A49" s="13" t="s">
        <v>124</v>
      </c>
      <c r="B49" s="23" t="s">
        <v>125</v>
      </c>
      <c r="C49" s="80">
        <v>1</v>
      </c>
      <c r="D49" s="81">
        <v>3</v>
      </c>
      <c r="E49" s="82"/>
      <c r="F49" s="83">
        <v>1</v>
      </c>
      <c r="G49" s="84">
        <v>3</v>
      </c>
      <c r="H49" s="85"/>
      <c r="I49" s="73"/>
      <c r="J49" s="74">
        <v>3</v>
      </c>
      <c r="K49" s="75"/>
      <c r="L49" s="5"/>
      <c r="M49" s="5"/>
    </row>
    <row r="50" spans="1:17" s="30" customFormat="1" ht="15.75">
      <c r="A50" s="242" t="s">
        <v>27</v>
      </c>
      <c r="B50" s="243"/>
      <c r="C50" s="68">
        <f>SUMPRODUCT(C42:C49,D42:D49)</f>
        <v>26</v>
      </c>
      <c r="D50" s="56">
        <f>SUM(D42:D49)</f>
        <v>35</v>
      </c>
      <c r="E50" s="57"/>
      <c r="F50" s="67">
        <f>SUMPRODUCT(F42:F49,G42:G49)</f>
        <v>22.25</v>
      </c>
      <c r="G50" s="49">
        <f>SUM(G42:G49)</f>
        <v>35</v>
      </c>
      <c r="H50" s="50"/>
      <c r="I50" s="51">
        <f>SUMPRODUCT(I42:I49,J42:J49)</f>
        <v>0</v>
      </c>
      <c r="J50" s="52">
        <f>SUM(J42:J49)</f>
        <v>35</v>
      </c>
      <c r="K50" s="53"/>
      <c r="L50" s="54"/>
      <c r="M50" s="54"/>
      <c r="N50" s="42"/>
      <c r="O50" s="42"/>
      <c r="P50" s="42"/>
      <c r="Q50" s="42"/>
    </row>
    <row r="51" spans="1:17" ht="18.399999999999999" customHeight="1">
      <c r="A51" s="247" t="s">
        <v>126</v>
      </c>
      <c r="B51" s="247"/>
      <c r="C51" s="240" t="s">
        <v>17</v>
      </c>
      <c r="D51" s="241"/>
      <c r="E51" s="44" t="s">
        <v>18</v>
      </c>
      <c r="F51" s="240" t="s">
        <v>17</v>
      </c>
      <c r="G51" s="241"/>
      <c r="H51" s="44" t="s">
        <v>18</v>
      </c>
      <c r="I51" s="240" t="s">
        <v>17</v>
      </c>
      <c r="J51" s="241"/>
      <c r="K51" s="44"/>
      <c r="L51" s="8"/>
      <c r="M51" s="4"/>
    </row>
    <row r="52" spans="1:17">
      <c r="A52" s="29" t="s">
        <v>127</v>
      </c>
      <c r="B52" s="29" t="s">
        <v>128</v>
      </c>
      <c r="C52" s="76">
        <f>2/2</f>
        <v>1</v>
      </c>
      <c r="D52" s="77">
        <v>2</v>
      </c>
      <c r="E52" s="78" t="s">
        <v>129</v>
      </c>
      <c r="F52" s="79">
        <f>2/2</f>
        <v>1</v>
      </c>
      <c r="G52" s="27">
        <v>2</v>
      </c>
      <c r="H52" s="28"/>
      <c r="I52" s="70"/>
      <c r="J52" s="71">
        <v>2</v>
      </c>
      <c r="K52" s="72"/>
      <c r="L52" s="5"/>
      <c r="M52" s="5"/>
    </row>
    <row r="53" spans="1:17" ht="45">
      <c r="A53" s="23" t="s">
        <v>130</v>
      </c>
      <c r="B53" s="23" t="s">
        <v>131</v>
      </c>
      <c r="C53" s="80">
        <f>1/2</f>
        <v>0.5</v>
      </c>
      <c r="D53" s="81">
        <v>2</v>
      </c>
      <c r="E53" s="82" t="s">
        <v>132</v>
      </c>
      <c r="F53" s="83">
        <f>2/2</f>
        <v>1</v>
      </c>
      <c r="G53" s="84">
        <v>2</v>
      </c>
      <c r="H53" s="85"/>
      <c r="I53" s="73"/>
      <c r="J53" s="74">
        <v>2</v>
      </c>
      <c r="K53" s="75"/>
      <c r="L53" s="5"/>
      <c r="M53" s="5"/>
    </row>
    <row r="54" spans="1:17" ht="30.75">
      <c r="A54" s="23" t="s">
        <v>133</v>
      </c>
      <c r="B54" s="23" t="s">
        <v>134</v>
      </c>
      <c r="C54" s="80">
        <f>1/1</f>
        <v>1</v>
      </c>
      <c r="D54" s="81">
        <v>1</v>
      </c>
      <c r="E54" s="82"/>
      <c r="F54" s="83">
        <f>(1-0.5)/1</f>
        <v>0.5</v>
      </c>
      <c r="G54" s="84">
        <v>1</v>
      </c>
      <c r="H54" s="85" t="s">
        <v>135</v>
      </c>
      <c r="I54" s="73"/>
      <c r="J54" s="74">
        <v>1</v>
      </c>
      <c r="K54" s="75"/>
      <c r="L54" s="5"/>
      <c r="M54" s="5"/>
    </row>
    <row r="55" spans="1:17" ht="60">
      <c r="A55" s="23" t="s">
        <v>136</v>
      </c>
      <c r="B55" s="23" t="s">
        <v>137</v>
      </c>
      <c r="C55" s="80">
        <f>3/4</f>
        <v>0.75</v>
      </c>
      <c r="D55" s="81">
        <v>4</v>
      </c>
      <c r="E55" s="82" t="s">
        <v>138</v>
      </c>
      <c r="F55" s="83">
        <f>4/4</f>
        <v>1</v>
      </c>
      <c r="G55" s="84">
        <v>4</v>
      </c>
      <c r="H55" s="85"/>
      <c r="I55" s="73"/>
      <c r="J55" s="74">
        <v>4</v>
      </c>
      <c r="K55" s="75"/>
      <c r="L55" s="5"/>
      <c r="M55" s="5"/>
    </row>
    <row r="56" spans="1:17" ht="30.75">
      <c r="A56" s="23" t="s">
        <v>139</v>
      </c>
      <c r="B56" s="23" t="s">
        <v>140</v>
      </c>
      <c r="C56" s="80">
        <f>2/2</f>
        <v>1</v>
      </c>
      <c r="D56" s="81">
        <v>2</v>
      </c>
      <c r="E56" s="82"/>
      <c r="F56" s="83">
        <f>(2-1)/2</f>
        <v>0.5</v>
      </c>
      <c r="G56" s="84">
        <v>2</v>
      </c>
      <c r="H56" s="85" t="s">
        <v>141</v>
      </c>
      <c r="I56" s="73"/>
      <c r="J56" s="74">
        <v>2</v>
      </c>
      <c r="K56" s="75"/>
      <c r="L56" s="6"/>
      <c r="M56" s="5"/>
    </row>
    <row r="57" spans="1:17" s="42" customFormat="1" ht="15.75">
      <c r="A57" s="242" t="s">
        <v>27</v>
      </c>
      <c r="B57" s="243"/>
      <c r="C57" s="55">
        <f>SUMPRODUCT(C52:C56,D52:D56)</f>
        <v>9</v>
      </c>
      <c r="D57" s="56">
        <f>SUM(D52:D56)</f>
        <v>11</v>
      </c>
      <c r="E57" s="57"/>
      <c r="F57" s="58">
        <f>SUMPRODUCT(F52:F56,G52:G56)</f>
        <v>9.5</v>
      </c>
      <c r="G57" s="59">
        <f>SUM(G52:G56)</f>
        <v>11</v>
      </c>
      <c r="H57" s="60"/>
      <c r="I57" s="51">
        <f>SUMPRODUCT(I52:I56,J52:J56)</f>
        <v>0</v>
      </c>
      <c r="J57" s="52">
        <f>SUM(J52:J56)</f>
        <v>11</v>
      </c>
      <c r="K57" s="53"/>
      <c r="L57" s="54"/>
      <c r="M57" s="54"/>
    </row>
    <row r="58" spans="1:17" ht="18.75" customHeight="1">
      <c r="A58" s="244" t="s">
        <v>2</v>
      </c>
      <c r="B58" s="245"/>
      <c r="C58" s="245"/>
      <c r="D58" s="245"/>
      <c r="E58" s="245"/>
      <c r="F58" s="245"/>
      <c r="G58" s="245"/>
      <c r="H58" s="245"/>
      <c r="I58" s="245"/>
      <c r="J58" s="245"/>
      <c r="K58" s="246"/>
      <c r="L58" s="4"/>
      <c r="M58" s="4"/>
    </row>
    <row r="59" spans="1:17" ht="45">
      <c r="A59" s="248" t="s">
        <v>142</v>
      </c>
      <c r="B59" s="249"/>
      <c r="C59" s="209">
        <f>C18+C23+C28+C34+C40+C50+C57+C11</f>
        <v>75.075000000000003</v>
      </c>
      <c r="D59" s="25">
        <f>D11+D18+D23+D28+D34+D40+D50+D57</f>
        <v>100</v>
      </c>
      <c r="E59" s="26"/>
      <c r="F59" s="218">
        <f>F11+F18+F23+F28+F34+F40+F50+F57+F11</f>
        <v>79.2</v>
      </c>
      <c r="G59" s="27">
        <f>G11+G18+G23+G28+G34+G40+G50+G57</f>
        <v>100</v>
      </c>
      <c r="H59" s="28"/>
      <c r="I59" s="219">
        <f>I18+I23+I28+I34+I40+I50+I57+I11</f>
        <v>0</v>
      </c>
      <c r="J59" s="32">
        <f>J11+J18+J23+J28+J34+J40+J50+J57</f>
        <v>100</v>
      </c>
      <c r="K59" s="33"/>
      <c r="L59" s="6"/>
      <c r="M59" s="5"/>
    </row>
    <row r="60" spans="1:17" s="42" customFormat="1" ht="15.75">
      <c r="A60" s="250" t="s">
        <v>143</v>
      </c>
      <c r="B60" s="251"/>
      <c r="C60" s="252">
        <f>C59/D59</f>
        <v>0.75075000000000003</v>
      </c>
      <c r="D60" s="253"/>
      <c r="E60" s="254"/>
      <c r="F60" s="255">
        <f>F59/G59</f>
        <v>0.79200000000000004</v>
      </c>
      <c r="G60" s="256"/>
      <c r="H60" s="257"/>
      <c r="I60" s="258">
        <f>I59/J59</f>
        <v>0</v>
      </c>
      <c r="J60" s="259"/>
      <c r="K60" s="260"/>
      <c r="L60" s="69"/>
      <c r="M60" s="69"/>
    </row>
  </sheetData>
  <mergeCells count="51">
    <mergeCell ref="A2:K2"/>
    <mergeCell ref="A4:K4"/>
    <mergeCell ref="I6:K6"/>
    <mergeCell ref="B6:B7"/>
    <mergeCell ref="A29:B29"/>
    <mergeCell ref="C29:D29"/>
    <mergeCell ref="F29:G29"/>
    <mergeCell ref="A19:B19"/>
    <mergeCell ref="A18:B18"/>
    <mergeCell ref="A23:B23"/>
    <mergeCell ref="C24:D24"/>
    <mergeCell ref="F24:G24"/>
    <mergeCell ref="I24:J24"/>
    <mergeCell ref="C12:D12"/>
    <mergeCell ref="F12:G12"/>
    <mergeCell ref="C8:D8"/>
    <mergeCell ref="A28:B28"/>
    <mergeCell ref="A35:B35"/>
    <mergeCell ref="N6:P6"/>
    <mergeCell ref="A6:A7"/>
    <mergeCell ref="C6:E6"/>
    <mergeCell ref="F6:H6"/>
    <mergeCell ref="F8:G8"/>
    <mergeCell ref="I8:J8"/>
    <mergeCell ref="I12:J12"/>
    <mergeCell ref="C19:D19"/>
    <mergeCell ref="F19:G19"/>
    <mergeCell ref="I19:J19"/>
    <mergeCell ref="A11:B11"/>
    <mergeCell ref="A12:B12"/>
    <mergeCell ref="A8:B8"/>
    <mergeCell ref="I29:J29"/>
    <mergeCell ref="A59:B59"/>
    <mergeCell ref="A60:B60"/>
    <mergeCell ref="C60:E60"/>
    <mergeCell ref="F60:H60"/>
    <mergeCell ref="I60:K60"/>
    <mergeCell ref="A58:K58"/>
    <mergeCell ref="C41:D41"/>
    <mergeCell ref="F41:G41"/>
    <mergeCell ref="I41:J41"/>
    <mergeCell ref="A51:B51"/>
    <mergeCell ref="C51:D51"/>
    <mergeCell ref="F51:G51"/>
    <mergeCell ref="I51:J51"/>
    <mergeCell ref="A50:B50"/>
    <mergeCell ref="C35:D35"/>
    <mergeCell ref="F35:G35"/>
    <mergeCell ref="A40:B40"/>
    <mergeCell ref="A34:B34"/>
    <mergeCell ref="A57:B57"/>
  </mergeCells>
  <dataValidations count="2">
    <dataValidation type="decimal" allowBlank="1" showInputMessage="1" showErrorMessage="1" sqref="L18 L23 L28 L34 L40 L50 L11 C9:C10 F9:F10 I9:I10 C13:C17 F13:F17 I13:I17 C20:C22 F20:F22 I20:I22 C25:C27 F25:F27 I25:I27 C30:C33 F30:F33 I30:I33 I52:I56 F36:F39 I36:I39 C36:C39 F42:F49 I42:I49 C52:C56 F52:F56 C42:C49" xr:uid="{4A0D4DC8-F6F9-4765-AB49-E4E0ACDB1361}">
      <formula1>0</formula1>
      <formula2>1</formula2>
    </dataValidation>
    <dataValidation type="decimal" allowBlank="1" showInputMessage="1" showErrorMessage="1" error="Les évaluations sont faites en terme de pourcentage. Veuillez entrer une valeur entre 0 et 1" sqref="L52:L56 L30:L33 L20:L22 L13:L17 L42:L49 L25:L27 L36:L39"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4"/>
  <sheetViews>
    <sheetView topLeftCell="A25" workbookViewId="0">
      <selection activeCell="G31" sqref="G31"/>
    </sheetView>
  </sheetViews>
  <sheetFormatPr defaultColWidth="9.140625" defaultRowHeight="15"/>
  <cols>
    <col min="1" max="1" width="50.5703125" style="35" customWidth="1"/>
    <col min="2" max="3" width="9.140625" style="35"/>
    <col min="4" max="4" width="9.85546875" style="35" bestFit="1" customWidth="1"/>
    <col min="5" max="5" width="11" style="35" bestFit="1" customWidth="1"/>
    <col min="6" max="6" width="11" style="35" customWidth="1"/>
    <col min="7" max="7" width="118.85546875" style="35" customWidth="1"/>
    <col min="8" max="16384" width="9.140625" style="35"/>
  </cols>
  <sheetData>
    <row r="2" spans="1:7" ht="18.75">
      <c r="A2" s="281" t="s">
        <v>10</v>
      </c>
      <c r="B2" s="281"/>
      <c r="C2" s="281"/>
      <c r="D2" s="281"/>
      <c r="E2" s="281"/>
      <c r="F2" s="281"/>
      <c r="G2" s="281"/>
    </row>
    <row r="3" spans="1:7">
      <c r="A3" s="36"/>
      <c r="B3" s="36"/>
      <c r="C3" s="37"/>
      <c r="D3" s="37"/>
      <c r="E3" s="36"/>
      <c r="F3" s="36"/>
      <c r="G3" s="37"/>
    </row>
    <row r="4" spans="1:7" ht="18.75">
      <c r="A4" s="34" t="s">
        <v>144</v>
      </c>
      <c r="B4" s="34"/>
      <c r="C4" s="34"/>
      <c r="D4" s="34"/>
      <c r="E4" s="34"/>
      <c r="F4" s="34"/>
      <c r="G4" s="34"/>
    </row>
    <row r="5" spans="1:7" ht="15.75" thickBot="1"/>
    <row r="6" spans="1:7" ht="23.25">
      <c r="A6" s="285" t="s">
        <v>6</v>
      </c>
      <c r="B6" s="286"/>
      <c r="C6" s="286"/>
      <c r="D6" s="286"/>
      <c r="E6" s="286"/>
      <c r="F6" s="286"/>
      <c r="G6" s="287"/>
    </row>
    <row r="7" spans="1:7">
      <c r="A7" s="118" t="s">
        <v>145</v>
      </c>
      <c r="B7" s="119" t="s">
        <v>14</v>
      </c>
      <c r="C7" s="119" t="s">
        <v>146</v>
      </c>
      <c r="D7" s="119" t="s">
        <v>4</v>
      </c>
      <c r="E7" s="119" t="s">
        <v>147</v>
      </c>
      <c r="F7" s="119" t="s">
        <v>17</v>
      </c>
      <c r="G7" s="120" t="s">
        <v>15</v>
      </c>
    </row>
    <row r="8" spans="1:7">
      <c r="A8" s="121" t="s">
        <v>148</v>
      </c>
      <c r="B8" s="122">
        <v>1</v>
      </c>
      <c r="C8" s="122">
        <v>1</v>
      </c>
      <c r="D8" s="122">
        <v>4</v>
      </c>
      <c r="E8" s="122">
        <f t="shared" ref="E8:E17" si="0">B8*C8*D8</f>
        <v>4</v>
      </c>
      <c r="F8" s="122" t="s">
        <v>99</v>
      </c>
      <c r="G8" s="123"/>
    </row>
    <row r="9" spans="1:7" ht="135">
      <c r="A9" s="124" t="s">
        <v>149</v>
      </c>
      <c r="B9" s="233">
        <f>(8-1)/8</f>
        <v>0.875</v>
      </c>
      <c r="C9" s="125">
        <v>1</v>
      </c>
      <c r="D9" s="125">
        <v>8</v>
      </c>
      <c r="E9" s="125">
        <f t="shared" si="0"/>
        <v>7</v>
      </c>
      <c r="F9" s="125" t="s">
        <v>18</v>
      </c>
      <c r="G9" s="232" t="s">
        <v>150</v>
      </c>
    </row>
    <row r="10" spans="1:7" ht="30">
      <c r="A10" s="121" t="s">
        <v>151</v>
      </c>
      <c r="B10" s="122">
        <f>18.5/20</f>
        <v>0.92500000000000004</v>
      </c>
      <c r="C10" s="122">
        <v>1</v>
      </c>
      <c r="D10" s="122">
        <v>20</v>
      </c>
      <c r="E10" s="122">
        <f t="shared" si="0"/>
        <v>18.5</v>
      </c>
      <c r="F10" s="122" t="s">
        <v>99</v>
      </c>
      <c r="G10" s="230" t="s">
        <v>152</v>
      </c>
    </row>
    <row r="11" spans="1:7" ht="135">
      <c r="A11" s="124" t="s">
        <v>153</v>
      </c>
      <c r="B11" s="233">
        <f>(10-2)/10</f>
        <v>0.8</v>
      </c>
      <c r="C11" s="125">
        <v>1</v>
      </c>
      <c r="D11" s="125">
        <v>10</v>
      </c>
      <c r="E11" s="125">
        <f t="shared" si="0"/>
        <v>8</v>
      </c>
      <c r="F11" s="125" t="s">
        <v>18</v>
      </c>
      <c r="G11" s="232" t="s">
        <v>154</v>
      </c>
    </row>
    <row r="12" spans="1:7">
      <c r="A12" s="121" t="s">
        <v>155</v>
      </c>
      <c r="B12" s="122">
        <v>1</v>
      </c>
      <c r="C12" s="122">
        <v>1</v>
      </c>
      <c r="D12" s="122">
        <v>10</v>
      </c>
      <c r="E12" s="122">
        <f t="shared" si="0"/>
        <v>10</v>
      </c>
      <c r="F12" s="122" t="s">
        <v>48</v>
      </c>
      <c r="G12" s="123" t="s">
        <v>156</v>
      </c>
    </row>
    <row r="13" spans="1:7" ht="105">
      <c r="A13" s="121" t="s">
        <v>157</v>
      </c>
      <c r="B13" s="122">
        <f>1-0.05-0.1</f>
        <v>0.85</v>
      </c>
      <c r="C13" s="122">
        <v>1</v>
      </c>
      <c r="D13" s="122">
        <v>12</v>
      </c>
      <c r="E13" s="122">
        <f t="shared" si="0"/>
        <v>10.199999999999999</v>
      </c>
      <c r="F13" s="122" t="s">
        <v>48</v>
      </c>
      <c r="G13" s="230" t="s">
        <v>158</v>
      </c>
    </row>
    <row r="14" spans="1:7" ht="165">
      <c r="A14" s="124" t="s">
        <v>159</v>
      </c>
      <c r="B14" s="125">
        <v>1</v>
      </c>
      <c r="C14" s="125">
        <v>1</v>
      </c>
      <c r="D14" s="125">
        <v>12</v>
      </c>
      <c r="E14" s="125">
        <f t="shared" si="0"/>
        <v>12</v>
      </c>
      <c r="F14" s="125" t="s">
        <v>18</v>
      </c>
      <c r="G14" s="232" t="s">
        <v>160</v>
      </c>
    </row>
    <row r="15" spans="1:7">
      <c r="A15" s="121" t="s">
        <v>161</v>
      </c>
      <c r="B15" s="122">
        <v>1</v>
      </c>
      <c r="C15" s="122">
        <v>1</v>
      </c>
      <c r="D15" s="122">
        <v>10</v>
      </c>
      <c r="E15" s="122">
        <f t="shared" si="0"/>
        <v>10</v>
      </c>
      <c r="F15" s="122" t="s">
        <v>99</v>
      </c>
      <c r="G15" s="123"/>
    </row>
    <row r="16" spans="1:7">
      <c r="A16" s="124" t="s">
        <v>162</v>
      </c>
      <c r="B16" s="125">
        <v>1</v>
      </c>
      <c r="C16" s="125">
        <v>1</v>
      </c>
      <c r="D16" s="125">
        <v>8</v>
      </c>
      <c r="E16" s="125">
        <f t="shared" si="0"/>
        <v>8</v>
      </c>
      <c r="F16" s="125" t="s">
        <v>48</v>
      </c>
      <c r="G16" s="126" t="s">
        <v>156</v>
      </c>
    </row>
    <row r="17" spans="1:7" ht="75">
      <c r="A17" s="127" t="s">
        <v>163</v>
      </c>
      <c r="B17" s="128">
        <f>1-0.25</f>
        <v>0.75</v>
      </c>
      <c r="C17" s="128">
        <v>1</v>
      </c>
      <c r="D17" s="128">
        <v>6</v>
      </c>
      <c r="E17" s="128">
        <f t="shared" si="0"/>
        <v>4.5</v>
      </c>
      <c r="F17" s="128" t="s">
        <v>48</v>
      </c>
      <c r="G17" s="231" t="s">
        <v>164</v>
      </c>
    </row>
    <row r="18" spans="1:7">
      <c r="A18" s="129" t="s">
        <v>165</v>
      </c>
      <c r="B18" s="288"/>
      <c r="C18" s="288"/>
      <c r="D18" s="130">
        <f>SUM(D8:D17)</f>
        <v>100</v>
      </c>
      <c r="E18" s="131">
        <f>(SUM(E8:E17)+E20+E21)/D18</f>
        <v>0.92200000000000004</v>
      </c>
      <c r="F18" s="131"/>
      <c r="G18" s="132"/>
    </row>
    <row r="19" spans="1:7">
      <c r="A19" s="133" t="s">
        <v>166</v>
      </c>
      <c r="B19" s="134" t="s">
        <v>14</v>
      </c>
      <c r="C19" s="134"/>
      <c r="D19" s="134" t="s">
        <v>4</v>
      </c>
      <c r="E19" s="135" t="s">
        <v>147</v>
      </c>
      <c r="F19" s="135"/>
      <c r="G19" s="136" t="s">
        <v>15</v>
      </c>
    </row>
    <row r="20" spans="1:7">
      <c r="A20" s="137" t="s">
        <v>167</v>
      </c>
      <c r="B20" s="138">
        <v>0</v>
      </c>
      <c r="C20" s="138"/>
      <c r="D20" s="139">
        <v>-10</v>
      </c>
      <c r="E20" s="138">
        <f>B20*D20</f>
        <v>0</v>
      </c>
      <c r="F20" s="138"/>
      <c r="G20" s="140"/>
    </row>
    <row r="21" spans="1:7">
      <c r="A21" s="141" t="s">
        <v>168</v>
      </c>
      <c r="B21" s="142">
        <v>0</v>
      </c>
      <c r="C21" s="142"/>
      <c r="D21" s="143">
        <v>-15</v>
      </c>
      <c r="E21" s="142">
        <f>B21*D21</f>
        <v>0</v>
      </c>
      <c r="F21" s="142"/>
      <c r="G21" s="144"/>
    </row>
    <row r="22" spans="1:7" ht="23.25">
      <c r="A22" s="289" t="s">
        <v>7</v>
      </c>
      <c r="B22" s="290"/>
      <c r="C22" s="290"/>
      <c r="D22" s="290"/>
      <c r="E22" s="290"/>
      <c r="F22" s="290"/>
      <c r="G22" s="291"/>
    </row>
    <row r="23" spans="1:7">
      <c r="A23" s="145" t="s">
        <v>145</v>
      </c>
      <c r="B23" s="146" t="s">
        <v>14</v>
      </c>
      <c r="C23" s="146" t="s">
        <v>146</v>
      </c>
      <c r="D23" s="146" t="s">
        <v>4</v>
      </c>
      <c r="E23" s="146" t="s">
        <v>147</v>
      </c>
      <c r="F23" s="146" t="s">
        <v>17</v>
      </c>
      <c r="G23" s="147" t="s">
        <v>15</v>
      </c>
    </row>
    <row r="24" spans="1:7" ht="91.5">
      <c r="A24" s="148" t="s">
        <v>169</v>
      </c>
      <c r="B24" s="149">
        <f>(20-0.5)/20</f>
        <v>0.97499999999999998</v>
      </c>
      <c r="C24" s="149">
        <v>1</v>
      </c>
      <c r="D24" s="149">
        <v>20</v>
      </c>
      <c r="E24" s="149">
        <f>B24*C24*D24</f>
        <v>19.5</v>
      </c>
      <c r="F24" s="149" t="s">
        <v>99</v>
      </c>
      <c r="G24" s="235" t="s">
        <v>170</v>
      </c>
    </row>
    <row r="25" spans="1:7" ht="76.5">
      <c r="A25" s="150" t="s">
        <v>171</v>
      </c>
      <c r="B25" s="151">
        <f>6/6</f>
        <v>1</v>
      </c>
      <c r="C25" s="151">
        <v>1</v>
      </c>
      <c r="D25" s="151">
        <v>6</v>
      </c>
      <c r="E25" s="151">
        <f t="shared" ref="E25:E33" si="1">B25*C25*D25</f>
        <v>6</v>
      </c>
      <c r="F25" s="151"/>
      <c r="G25" s="234" t="s">
        <v>172</v>
      </c>
    </row>
    <row r="26" spans="1:7" ht="60.75">
      <c r="A26" s="148" t="s">
        <v>173</v>
      </c>
      <c r="B26" s="149">
        <f>1-0.15-0.1</f>
        <v>0.75</v>
      </c>
      <c r="C26" s="149">
        <v>1</v>
      </c>
      <c r="D26" s="149">
        <v>12</v>
      </c>
      <c r="E26" s="149">
        <f t="shared" si="1"/>
        <v>9</v>
      </c>
      <c r="F26" s="149" t="s">
        <v>48</v>
      </c>
      <c r="G26" s="235" t="s">
        <v>174</v>
      </c>
    </row>
    <row r="27" spans="1:7" ht="45.75">
      <c r="A27" s="150" t="s">
        <v>175</v>
      </c>
      <c r="B27" s="151">
        <v>1</v>
      </c>
      <c r="C27" s="151">
        <v>1</v>
      </c>
      <c r="D27" s="151">
        <v>8</v>
      </c>
      <c r="E27" s="151">
        <f t="shared" si="1"/>
        <v>8</v>
      </c>
      <c r="F27" s="151" t="s">
        <v>99</v>
      </c>
      <c r="G27" s="151" t="s">
        <v>176</v>
      </c>
    </row>
    <row r="28" spans="1:7" ht="45.75">
      <c r="A28" s="148" t="s">
        <v>177</v>
      </c>
      <c r="B28" s="149">
        <v>1</v>
      </c>
      <c r="C28" s="149">
        <v>1</v>
      </c>
      <c r="D28" s="149">
        <v>6</v>
      </c>
      <c r="E28" s="149">
        <f t="shared" si="1"/>
        <v>6</v>
      </c>
      <c r="F28" s="149" t="s">
        <v>99</v>
      </c>
      <c r="G28" s="235" t="s">
        <v>176</v>
      </c>
    </row>
    <row r="29" spans="1:7" ht="167.25">
      <c r="A29" s="150" t="s">
        <v>178</v>
      </c>
      <c r="B29" s="151">
        <f>14/14</f>
        <v>1</v>
      </c>
      <c r="C29" s="151">
        <v>1</v>
      </c>
      <c r="D29" s="151">
        <v>14</v>
      </c>
      <c r="E29" s="151">
        <f t="shared" si="1"/>
        <v>14</v>
      </c>
      <c r="F29" s="151"/>
      <c r="G29" s="234" t="s">
        <v>179</v>
      </c>
    </row>
    <row r="30" spans="1:7" ht="60.75">
      <c r="A30" s="148" t="s">
        <v>180</v>
      </c>
      <c r="B30" s="149">
        <f>1-0.15-0.1</f>
        <v>0.75</v>
      </c>
      <c r="C30" s="149">
        <v>1</v>
      </c>
      <c r="D30" s="149">
        <v>12</v>
      </c>
      <c r="E30" s="149">
        <f t="shared" si="1"/>
        <v>9</v>
      </c>
      <c r="F30" s="149" t="s">
        <v>48</v>
      </c>
      <c r="G30" s="235" t="s">
        <v>181</v>
      </c>
    </row>
    <row r="31" spans="1:7" ht="76.5">
      <c r="A31" s="150" t="s">
        <v>182</v>
      </c>
      <c r="B31" s="151">
        <f>4/4</f>
        <v>1</v>
      </c>
      <c r="C31" s="151">
        <v>1</v>
      </c>
      <c r="D31" s="151">
        <v>4</v>
      </c>
      <c r="E31" s="151">
        <f t="shared" si="1"/>
        <v>4</v>
      </c>
      <c r="F31" s="151"/>
      <c r="G31" s="234" t="s">
        <v>183</v>
      </c>
    </row>
    <row r="32" spans="1:7" ht="167.25">
      <c r="A32" s="148" t="s">
        <v>184</v>
      </c>
      <c r="B32" s="149">
        <f>10/10</f>
        <v>1</v>
      </c>
      <c r="C32" s="149">
        <v>1</v>
      </c>
      <c r="D32" s="149">
        <v>10</v>
      </c>
      <c r="E32" s="149">
        <f t="shared" si="1"/>
        <v>10</v>
      </c>
      <c r="F32" s="149"/>
      <c r="G32" s="235" t="s">
        <v>185</v>
      </c>
    </row>
    <row r="33" spans="1:7" ht="45.75">
      <c r="A33" s="152" t="s">
        <v>186</v>
      </c>
      <c r="B33" s="153">
        <v>1</v>
      </c>
      <c r="C33" s="153">
        <v>1</v>
      </c>
      <c r="D33" s="153">
        <v>8</v>
      </c>
      <c r="E33" s="153">
        <f t="shared" si="1"/>
        <v>8</v>
      </c>
      <c r="F33" s="153" t="s">
        <v>48</v>
      </c>
      <c r="G33" s="239" t="s">
        <v>187</v>
      </c>
    </row>
    <row r="34" spans="1:7">
      <c r="A34" s="154" t="s">
        <v>165</v>
      </c>
      <c r="B34" s="155"/>
      <c r="C34" s="155"/>
      <c r="D34" s="155">
        <f>SUM(D24:D33)</f>
        <v>100</v>
      </c>
      <c r="E34" s="156">
        <f>(SUM(E24:E33) + E36+E37+E38)/D34</f>
        <v>0.93500000000000005</v>
      </c>
      <c r="F34" s="156"/>
      <c r="G34" s="157"/>
    </row>
    <row r="35" spans="1:7">
      <c r="A35" s="158" t="s">
        <v>166</v>
      </c>
      <c r="B35" s="159" t="s">
        <v>14</v>
      </c>
      <c r="C35" s="159"/>
      <c r="D35" s="159" t="s">
        <v>4</v>
      </c>
      <c r="E35" s="160" t="s">
        <v>147</v>
      </c>
      <c r="F35" s="160"/>
      <c r="G35" s="161" t="s">
        <v>15</v>
      </c>
    </row>
    <row r="36" spans="1:7">
      <c r="A36" s="162" t="s">
        <v>167</v>
      </c>
      <c r="B36" s="163">
        <v>0</v>
      </c>
      <c r="C36" s="163"/>
      <c r="D36" s="164">
        <v>-10</v>
      </c>
      <c r="E36" s="163">
        <f>B36*D36</f>
        <v>0</v>
      </c>
      <c r="F36" s="163"/>
      <c r="G36" s="165"/>
    </row>
    <row r="37" spans="1:7">
      <c r="A37" s="166" t="s">
        <v>188</v>
      </c>
      <c r="B37" s="167">
        <v>0</v>
      </c>
      <c r="C37" s="167"/>
      <c r="D37" s="168">
        <v>-15</v>
      </c>
      <c r="E37" s="167">
        <f>B37*D37</f>
        <v>0</v>
      </c>
      <c r="F37" s="167"/>
      <c r="G37" s="169"/>
    </row>
    <row r="38" spans="1:7">
      <c r="A38" s="170" t="s">
        <v>189</v>
      </c>
      <c r="B38" s="171">
        <v>0</v>
      </c>
      <c r="C38" s="171"/>
      <c r="D38" s="172">
        <v>-5</v>
      </c>
      <c r="E38" s="171">
        <f>B38*D38</f>
        <v>0</v>
      </c>
      <c r="F38" s="171"/>
      <c r="G38" s="173"/>
    </row>
    <row r="39" spans="1:7" ht="23.25">
      <c r="A39" s="282" t="s">
        <v>8</v>
      </c>
      <c r="B39" s="283"/>
      <c r="C39" s="283"/>
      <c r="D39" s="283"/>
      <c r="E39" s="283"/>
      <c r="F39" s="283"/>
      <c r="G39" s="284"/>
    </row>
    <row r="40" spans="1:7">
      <c r="A40" s="174" t="s">
        <v>145</v>
      </c>
      <c r="B40" s="175" t="s">
        <v>14</v>
      </c>
      <c r="C40" s="175" t="s">
        <v>146</v>
      </c>
      <c r="D40" s="175" t="s">
        <v>4</v>
      </c>
      <c r="E40" s="175" t="s">
        <v>147</v>
      </c>
      <c r="F40" s="175" t="s">
        <v>17</v>
      </c>
      <c r="G40" s="176" t="s">
        <v>15</v>
      </c>
    </row>
    <row r="41" spans="1:7">
      <c r="A41" s="177" t="s">
        <v>190</v>
      </c>
      <c r="B41" s="178">
        <v>0</v>
      </c>
      <c r="C41" s="178">
        <v>0</v>
      </c>
      <c r="D41" s="178">
        <v>16</v>
      </c>
      <c r="E41" s="178">
        <f t="shared" ref="E41:E49" si="2">B41*C41*D41</f>
        <v>0</v>
      </c>
      <c r="F41" s="178"/>
      <c r="G41" s="179"/>
    </row>
    <row r="42" spans="1:7">
      <c r="A42" s="180" t="s">
        <v>191</v>
      </c>
      <c r="B42" s="181">
        <v>0</v>
      </c>
      <c r="C42" s="181">
        <v>0</v>
      </c>
      <c r="D42" s="181">
        <v>16</v>
      </c>
      <c r="E42" s="181">
        <f t="shared" si="2"/>
        <v>0</v>
      </c>
      <c r="F42" s="181"/>
      <c r="G42" s="182"/>
    </row>
    <row r="43" spans="1:7">
      <c r="A43" s="177" t="s">
        <v>192</v>
      </c>
      <c r="B43" s="178">
        <v>0</v>
      </c>
      <c r="C43" s="178">
        <v>0</v>
      </c>
      <c r="D43" s="178">
        <v>15</v>
      </c>
      <c r="E43" s="178">
        <f t="shared" si="2"/>
        <v>0</v>
      </c>
      <c r="F43" s="178"/>
      <c r="G43" s="179"/>
    </row>
    <row r="44" spans="1:7">
      <c r="A44" s="180" t="s">
        <v>193</v>
      </c>
      <c r="B44" s="181">
        <v>0</v>
      </c>
      <c r="C44" s="181">
        <v>0</v>
      </c>
      <c r="D44" s="181">
        <v>15</v>
      </c>
      <c r="E44" s="181">
        <f t="shared" si="2"/>
        <v>0</v>
      </c>
      <c r="F44" s="181"/>
      <c r="G44" s="182"/>
    </row>
    <row r="45" spans="1:7">
      <c r="A45" s="177" t="s">
        <v>194</v>
      </c>
      <c r="B45" s="178">
        <v>0</v>
      </c>
      <c r="C45" s="178">
        <v>0</v>
      </c>
      <c r="D45" s="178">
        <v>10</v>
      </c>
      <c r="E45" s="178">
        <f t="shared" si="2"/>
        <v>0</v>
      </c>
      <c r="F45" s="178"/>
      <c r="G45" s="179"/>
    </row>
    <row r="46" spans="1:7">
      <c r="A46" s="180" t="s">
        <v>195</v>
      </c>
      <c r="B46" s="181">
        <v>0</v>
      </c>
      <c r="C46" s="181">
        <v>0</v>
      </c>
      <c r="D46" s="181">
        <v>8</v>
      </c>
      <c r="E46" s="181">
        <f t="shared" si="2"/>
        <v>0</v>
      </c>
      <c r="F46" s="181"/>
      <c r="G46" s="182"/>
    </row>
    <row r="47" spans="1:7">
      <c r="A47" s="177" t="s">
        <v>196</v>
      </c>
      <c r="B47" s="178">
        <v>0</v>
      </c>
      <c r="C47" s="178">
        <v>0</v>
      </c>
      <c r="D47" s="178">
        <v>8</v>
      </c>
      <c r="E47" s="178">
        <f t="shared" si="2"/>
        <v>0</v>
      </c>
      <c r="F47" s="178"/>
      <c r="G47" s="179"/>
    </row>
    <row r="48" spans="1:7">
      <c r="A48" s="180" t="s">
        <v>197</v>
      </c>
      <c r="B48" s="181">
        <v>0</v>
      </c>
      <c r="C48" s="181">
        <v>0</v>
      </c>
      <c r="D48" s="181">
        <v>8</v>
      </c>
      <c r="E48" s="181">
        <f t="shared" si="2"/>
        <v>0</v>
      </c>
      <c r="F48" s="181"/>
      <c r="G48" s="182"/>
    </row>
    <row r="49" spans="1:7">
      <c r="A49" s="183" t="s">
        <v>198</v>
      </c>
      <c r="B49" s="184">
        <v>0</v>
      </c>
      <c r="C49" s="184">
        <v>0</v>
      </c>
      <c r="D49" s="184">
        <v>4</v>
      </c>
      <c r="E49" s="184">
        <f t="shared" si="2"/>
        <v>0</v>
      </c>
      <c r="F49" s="184"/>
      <c r="G49" s="185"/>
    </row>
    <row r="50" spans="1:7">
      <c r="A50" s="186" t="s">
        <v>165</v>
      </c>
      <c r="B50" s="187"/>
      <c r="C50" s="187"/>
      <c r="D50" s="187">
        <f>SUM(D41:D49)</f>
        <v>100</v>
      </c>
      <c r="E50" s="188">
        <f>(SUM(E41:E49) +E52+E53+E54)/D50</f>
        <v>0</v>
      </c>
      <c r="F50" s="188"/>
      <c r="G50" s="189"/>
    </row>
    <row r="51" spans="1:7">
      <c r="A51" s="190" t="s">
        <v>166</v>
      </c>
      <c r="B51" s="191" t="s">
        <v>14</v>
      </c>
      <c r="C51" s="191"/>
      <c r="D51" s="191" t="s">
        <v>4</v>
      </c>
      <c r="E51" s="192" t="s">
        <v>147</v>
      </c>
      <c r="F51" s="192"/>
      <c r="G51" s="193" t="s">
        <v>15</v>
      </c>
    </row>
    <row r="52" spans="1:7">
      <c r="A52" s="194" t="s">
        <v>167</v>
      </c>
      <c r="B52" s="195">
        <v>0</v>
      </c>
      <c r="C52" s="195"/>
      <c r="D52" s="196">
        <v>-10</v>
      </c>
      <c r="E52" s="195">
        <f>B52*D52</f>
        <v>0</v>
      </c>
      <c r="F52" s="195"/>
      <c r="G52" s="197"/>
    </row>
    <row r="53" spans="1:7">
      <c r="A53" s="198" t="s">
        <v>199</v>
      </c>
      <c r="B53" s="199">
        <v>0</v>
      </c>
      <c r="C53" s="199"/>
      <c r="D53" s="200">
        <v>-15</v>
      </c>
      <c r="E53" s="199">
        <f>B53*D53</f>
        <v>0</v>
      </c>
      <c r="F53" s="199"/>
      <c r="G53" s="201"/>
    </row>
    <row r="54" spans="1:7">
      <c r="A54" s="202" t="s">
        <v>189</v>
      </c>
      <c r="B54" s="203">
        <v>0</v>
      </c>
      <c r="C54" s="203"/>
      <c r="D54" s="204">
        <v>-5</v>
      </c>
      <c r="E54" s="203">
        <f>B54*D54</f>
        <v>0</v>
      </c>
      <c r="F54" s="203"/>
      <c r="G54" s="205"/>
    </row>
  </sheetData>
  <mergeCells count="5">
    <mergeCell ref="A2:G2"/>
    <mergeCell ref="A39:G39"/>
    <mergeCell ref="A6:G6"/>
    <mergeCell ref="B18:C18"/>
    <mergeCell ref="A22:G22"/>
  </mergeCells>
  <dataValidations count="3">
    <dataValidation type="decimal" allowBlank="1" showInputMessage="1" showErrorMessage="1" sqref="E21:F21 B36:B38 B20:B21 B8:B18 B24:B33 B41:B49 B52:B54" xr:uid="{CC44C972-8B8F-4678-BAEB-D51FFB0200E2}">
      <formula1>0</formula1>
      <formula2>1</formula2>
    </dataValidation>
    <dataValidation type="list" allowBlank="1" showInputMessage="1" showErrorMessage="1" sqref="C20 C8:C17 C41:C49" xr:uid="{DCFB5783-098F-4837-84E1-A329359B138C}">
      <formula1>"0,0.25,0.50,0.75,1"</formula1>
    </dataValidation>
    <dataValidation type="whole" allowBlank="1" showInputMessage="1" showErrorMessage="1" sqref="E53:F53 E37:F37"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2022-04-12T00:29:19Z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